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activeTab="0"/>
  </bookViews>
  <sheets>
    <sheet name="Додаток 2-3 2021 65 обласн" sheetId="1" r:id="rId1"/>
  </sheets>
  <definedNames>
    <definedName name="_xlnm.Print_Titles" localSheetId="0">'Додаток 2-3 2021 65 обласн'!$10:$12</definedName>
    <definedName name="_xlnm.Print_Area" localSheetId="0">'Додаток 2-3 2021 65 обласн'!$A$2:$R$82</definedName>
  </definedNames>
  <calcPr fullCalcOnLoad="1"/>
</workbook>
</file>

<file path=xl/sharedStrings.xml><?xml version="1.0" encoding="utf-8"?>
<sst xmlns="http://schemas.openxmlformats.org/spreadsheetml/2006/main" count="146" uniqueCount="139">
  <si>
    <t>Разом по  бюджетах територіальних громад</t>
  </si>
  <si>
    <t>РАЗОМ кількість учнів, чол.</t>
  </si>
  <si>
    <t>РАЗОМ чисельність населення, чол.</t>
  </si>
  <si>
    <t>обсяг додаткової дотації , визначений пропорційно до питомої ваги учнів (50%)</t>
  </si>
  <si>
    <t>пропорційно до індексу податкоспроможності (40%)</t>
  </si>
  <si>
    <t>обсяг додаткової дотації, визначений пропорційно до питомої ваги чисельності населення (10%)</t>
  </si>
  <si>
    <t>Індекс відносної податкоспроможності</t>
  </si>
  <si>
    <t>Приведений індекс відносної податко-спроможності</t>
  </si>
  <si>
    <t>обсяг додаткової дотації, визначений пропорційно до індексу податкоспроможності</t>
  </si>
  <si>
    <t>17501000000</t>
  </si>
  <si>
    <t>17502000000</t>
  </si>
  <si>
    <t>17503000000</t>
  </si>
  <si>
    <t>17504000000</t>
  </si>
  <si>
    <t>17505000000</t>
  </si>
  <si>
    <t>17506000000</t>
  </si>
  <si>
    <t>17507000000</t>
  </si>
  <si>
    <t>17508000000</t>
  </si>
  <si>
    <t>17509000000</t>
  </si>
  <si>
    <t>17510000000</t>
  </si>
  <si>
    <t>17511000000</t>
  </si>
  <si>
    <t>17512000000</t>
  </si>
  <si>
    <t>17514000000</t>
  </si>
  <si>
    <t>17515000000</t>
  </si>
  <si>
    <t>17516000000</t>
  </si>
  <si>
    <t>17517000000</t>
  </si>
  <si>
    <t>17518000000</t>
  </si>
  <si>
    <t>17519000000</t>
  </si>
  <si>
    <t>17520000000</t>
  </si>
  <si>
    <t>17521000000</t>
  </si>
  <si>
    <t>17522000000</t>
  </si>
  <si>
    <t>17524000000</t>
  </si>
  <si>
    <t>17525000000</t>
  </si>
  <si>
    <t>17100000000</t>
  </si>
  <si>
    <t>Обласний бюджет Рівненської області</t>
  </si>
  <si>
    <t>Приведений індекс відносної податко-спроможності (без "-")</t>
  </si>
  <si>
    <t>Додаток 2</t>
  </si>
  <si>
    <t>Лідія БІЛЯК</t>
  </si>
  <si>
    <t>Код бюджету</t>
  </si>
  <si>
    <t>Назва місцевого бюджету адміністративно-територіальної одиниці</t>
  </si>
  <si>
    <t>Бюджет Березівської сільської територіальної громади</t>
  </si>
  <si>
    <r>
      <t xml:space="preserve">Чисельність облікованих внутрішньо переміщених осіб </t>
    </r>
    <r>
      <rPr>
        <i/>
        <sz val="12"/>
        <rFont val="Times New Roman"/>
        <family val="1"/>
      </rPr>
      <t>(станом на 01.01.2020 року)</t>
    </r>
    <r>
      <rPr>
        <b/>
        <sz val="12"/>
        <rFont val="Times New Roman"/>
        <family val="1"/>
      </rPr>
      <t xml:space="preserve">, чол. </t>
    </r>
  </si>
  <si>
    <t>Всього</t>
  </si>
  <si>
    <t>тис.грн.</t>
  </si>
  <si>
    <t>Бюджет Бабинської сільської територіальної громади</t>
  </si>
  <si>
    <t>Бюджет Бугринської сільської територіальної громади</t>
  </si>
  <si>
    <t>Бюджет Клесівської селищної територіальної громади</t>
  </si>
  <si>
    <t>Бюджет Миляцької сільської територіальної громади</t>
  </si>
  <si>
    <t>Бюджет Підлозцівської сільської територіальної громади</t>
  </si>
  <si>
    <t>Бюджет Радивилівської міської територіальної громади</t>
  </si>
  <si>
    <t>Бюджет Крупецької сільської територіальної громади</t>
  </si>
  <si>
    <t xml:space="preserve">Бюджет Привільненської сільської територіальної громади </t>
  </si>
  <si>
    <t>Бюджет Мирогощанської сільської територіальної громади</t>
  </si>
  <si>
    <t>Бюджет Локницької сільської територіальної громади</t>
  </si>
  <si>
    <t>Бюджет Смизької селищної територіальної громади</t>
  </si>
  <si>
    <t>Бюджет Висоцької сільської територіальної громади</t>
  </si>
  <si>
    <t>Бюджет Козинської сільської територіальної громади</t>
  </si>
  <si>
    <t xml:space="preserve">Бюджет Млинівської селищної територіальної громади </t>
  </si>
  <si>
    <t>Бюджет Боремельської сільської територіальної громади</t>
  </si>
  <si>
    <t>Бюджет Деражненської сільської територіальної громади</t>
  </si>
  <si>
    <t>Бюджет Острожецької сільської територіальної громади</t>
  </si>
  <si>
    <t>Бюджет Бокіймівської сільської територіальної громади</t>
  </si>
  <si>
    <t>Бюджет Тараканівської сільської територіальної громади</t>
  </si>
  <si>
    <t>Бюджет Ярославицької сільської територіальної громади</t>
  </si>
  <si>
    <t>Бюджет Клеванської селищної територіальної громади</t>
  </si>
  <si>
    <t>Бюджет Шпанівської сільської територіальної громади</t>
  </si>
  <si>
    <t xml:space="preserve">Бюджет Малинської сільської територіальної громади </t>
  </si>
  <si>
    <t xml:space="preserve">Бюджет Антонівської сільської територіальної громади </t>
  </si>
  <si>
    <t xml:space="preserve">Бюджет Великоомелянської сільської територіальної громади </t>
  </si>
  <si>
    <t xml:space="preserve">Бюджет Вирівської сільської територіальної громади </t>
  </si>
  <si>
    <t xml:space="preserve">Бюджет Головинської сільської територіальної громади </t>
  </si>
  <si>
    <t xml:space="preserve">Бюджет Каноницької сільської територіальної громади </t>
  </si>
  <si>
    <t xml:space="preserve">Бюджет Полицької сільської територіальної громади </t>
  </si>
  <si>
    <t xml:space="preserve">Бюджет Рафалівської селищної територіальної громади </t>
  </si>
  <si>
    <t xml:space="preserve">Бюджет Семидубської сільської територіальної громади </t>
  </si>
  <si>
    <t>Бюджет Березнівської міської територіальної громади</t>
  </si>
  <si>
    <t>Бюджет Білокриницької сільської територіальної громади</t>
  </si>
  <si>
    <t>Бюджет Варковицької сільської територіальної громади</t>
  </si>
  <si>
    <t>Бюджет Великомежиріцької сільської територіальної громади</t>
  </si>
  <si>
    <t>Бюджет Вербської сільської територіальної громади</t>
  </si>
  <si>
    <t>Бюджет Володимирецької селищної територіальної громади</t>
  </si>
  <si>
    <t>Бюджет Городоцької сільської територіальної громади</t>
  </si>
  <si>
    <t>Бюджет Гощанської селищної територіальної громади</t>
  </si>
  <si>
    <t>Бюджет Дубенської міської територіальної громади</t>
  </si>
  <si>
    <t>Бюджет Дубровицької міської територіальної громади</t>
  </si>
  <si>
    <t>Бюджет Зарічненської селищної територіальної громади</t>
  </si>
  <si>
    <t>Бюджет Здовбицької сільської територіальної громади</t>
  </si>
  <si>
    <t>Бюджет Здолбунівської міської територіальної громади</t>
  </si>
  <si>
    <t>Бюджет Зорянської сільської територіальної громади</t>
  </si>
  <si>
    <t>Бюджет Корецької міської територіальної громади</t>
  </si>
  <si>
    <t>Бюджет Костопільської міської територіальної громади</t>
  </si>
  <si>
    <t>Бюджет Мізоцької селищної територіальної громади</t>
  </si>
  <si>
    <t>Бюджет Рівненської міської територіальної громади</t>
  </si>
  <si>
    <t>Бюджет Рокитнівської селищної територіальної громади</t>
  </si>
  <si>
    <t>Бюджет Сарненської міської територіальної громади</t>
  </si>
  <si>
    <t>Бюджет Соснівської селищної територіальної громади</t>
  </si>
  <si>
    <t>Бюджет Бугринської сільської  територіальної громади</t>
  </si>
  <si>
    <t>Бюджет Підлозцівської сільської  територіальної громади</t>
  </si>
  <si>
    <t>Бюджет Радивилівської міської  територіальної громади</t>
  </si>
  <si>
    <t>Бюджет Привільненської сільської  територіальної громади</t>
  </si>
  <si>
    <t>Бюджет Мирогощанської сільської  територіальної громади</t>
  </si>
  <si>
    <t>Бюджет Локницької сільської  територіальної громади</t>
  </si>
  <si>
    <t>Бюджет Смизької селищної  територіальної громади</t>
  </si>
  <si>
    <t>Бюджет Висоцької сільської  територіальної громади</t>
  </si>
  <si>
    <t>Бюджет Козинської сільської  територіальної громади</t>
  </si>
  <si>
    <t>Бюджет Млинівської селищної  територіальної громади</t>
  </si>
  <si>
    <t>Бюджет Боремельської сільської  територіальної громади</t>
  </si>
  <si>
    <t>Бюджет Бокіймівської сільської  територіальної громади</t>
  </si>
  <si>
    <t>Бюджет Тараканівської сільської  територіальної громади</t>
  </si>
  <si>
    <t>Бюджет Ярославицької сільської  територіальної громади</t>
  </si>
  <si>
    <t>Бюджет Клеванської селищної  територіальної громади</t>
  </si>
  <si>
    <t>Бюджет Демидівської селищної  територіальної громади</t>
  </si>
  <si>
    <t>Бюджет Малолюбашанської сільської  територіальної громади</t>
  </si>
  <si>
    <t>Бюджет Олександрійської сільської  територіальної громади</t>
  </si>
  <si>
    <t>Бюджет Повчанської сільської  територіальної громади</t>
  </si>
  <si>
    <t>Бюджет Дядьковицької сільської  територіальної громади</t>
  </si>
  <si>
    <t>Бюджет Корнинської сільської  територіальної громади</t>
  </si>
  <si>
    <t>Бюджет Старосільської сільської  територіальної громади</t>
  </si>
  <si>
    <r>
      <t xml:space="preserve">Чисельність населення </t>
    </r>
    <r>
      <rPr>
        <i/>
        <sz val="12"/>
        <rFont val="Times New Roman"/>
        <family val="1"/>
      </rPr>
      <t>(станом на 01.01.2020 року)</t>
    </r>
    <r>
      <rPr>
        <b/>
        <sz val="12"/>
        <rFont val="Times New Roman"/>
        <family val="1"/>
      </rPr>
      <t>, чол.</t>
    </r>
  </si>
  <si>
    <r>
      <t>Кількість учнів в закладах загальної середньої освіти</t>
    </r>
    <r>
      <rPr>
        <i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чол.</t>
    </r>
  </si>
  <si>
    <t>сума до розподілу</t>
  </si>
  <si>
    <t xml:space="preserve">місцеві бюджети </t>
  </si>
  <si>
    <t>учні</t>
  </si>
  <si>
    <t>податки</t>
  </si>
  <si>
    <t xml:space="preserve">населення </t>
  </si>
  <si>
    <t>Бюджет Вараської міської територіальної громади</t>
  </si>
  <si>
    <t>Бюджет Острозької міської  територіальної громади</t>
  </si>
  <si>
    <t>Бюджет Степанської селищної  територіальної громади</t>
  </si>
  <si>
    <t>Всього обсяг додаткової дотації на 2021 рік</t>
  </si>
  <si>
    <t xml:space="preserve">обласний 65 відсотків </t>
  </si>
  <si>
    <r>
      <t>Бюджет Бабинської сільської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територіальної громади</t>
    </r>
  </si>
  <si>
    <t>Фактичні надходження ПДФО станом на 01.11.2020</t>
  </si>
  <si>
    <t>Розподіл додаткової дотації на 2021 рік</t>
  </si>
  <si>
    <r>
      <t xml:space="preserve">Розподіл додаткової дотації місцевим бюджетам </t>
    </r>
    <r>
      <rPr>
        <sz val="16"/>
        <rFont val="Times New Roman"/>
        <family val="1"/>
      </rPr>
      <t>Рівненської області</t>
    </r>
    <r>
      <rPr>
        <b/>
        <sz val="16"/>
        <rFont val="Times New Roman"/>
        <family val="1"/>
      </rPr>
      <t xml:space="preserve"> на здійснення переданих з державного бюджету видатків з утримання закладів освіти та охорони здоров'я на 2021 рік </t>
    </r>
    <r>
      <rPr>
        <i/>
        <sz val="11"/>
        <rFont val="Times New Roman"/>
        <family val="1"/>
      </rPr>
      <t xml:space="preserve"> </t>
    </r>
  </si>
  <si>
    <t>Бюджет Немовицької сільської  територіальної громади</t>
  </si>
  <si>
    <t>до розпорядження голови</t>
  </si>
  <si>
    <t>облдержадміністрації</t>
  </si>
  <si>
    <r>
      <t>Кількість учнів, що здобувають загальну середню освіту у закладах професійної (професійно-технічної) освіти (</t>
    </r>
    <r>
      <rPr>
        <i/>
        <sz val="12"/>
        <rFont val="Times New Roman"/>
        <family val="1"/>
      </rPr>
      <t>станом на 01.01.2020</t>
    </r>
    <r>
      <rPr>
        <b/>
        <sz val="12"/>
        <rFont val="Times New Roman"/>
        <family val="1"/>
      </rPr>
      <t>)</t>
    </r>
    <r>
      <rPr>
        <i/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чол</t>
    </r>
    <r>
      <rPr>
        <i/>
        <sz val="12"/>
        <rFont val="Times New Roman"/>
        <family val="1"/>
      </rPr>
      <t>.</t>
    </r>
  </si>
  <si>
    <t>Директор депртаменту фінансів адміністрації</t>
  </si>
  <si>
    <t>18.12.2020 № 790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</si>
</sst>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[$-422]d\ mmmm\ yyyy&quot; р.&quot;"/>
    <numFmt numFmtId="183" formatCode="0.0"/>
    <numFmt numFmtId="184" formatCode="#,##0.0"/>
    <numFmt numFmtId="185" formatCode="0.000"/>
    <numFmt numFmtId="186" formatCode="0.0000"/>
    <numFmt numFmtId="187" formatCode="0.00000"/>
    <numFmt numFmtId="188" formatCode="#,##0.000"/>
    <numFmt numFmtId="189" formatCode="#,##0.0000"/>
    <numFmt numFmtId="190" formatCode="#,##0.00000"/>
    <numFmt numFmtId="191" formatCode="#,##0.0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00000"/>
    <numFmt numFmtId="197" formatCode="0.00000000"/>
    <numFmt numFmtId="198" formatCode="0.0000000"/>
    <numFmt numFmtId="199" formatCode="0.000000"/>
    <numFmt numFmtId="200" formatCode="#,##0.0000000000000000000000000"/>
    <numFmt numFmtId="201" formatCode="#,##0.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General_)"/>
    <numFmt numFmtId="207" formatCode="0_)"/>
    <numFmt numFmtId="208" formatCode="0.0%"/>
    <numFmt numFmtId="209" formatCode="#,##0.0000000000000"/>
    <numFmt numFmtId="210" formatCode="#,##0.00000000000000"/>
    <numFmt numFmtId="211" formatCode="#,##0.000000000000000"/>
    <numFmt numFmtId="212" formatCode="#,##0.0000000000000000"/>
    <numFmt numFmtId="213" formatCode="#,##0.00000000000000000"/>
    <numFmt numFmtId="214" formatCode="#,##0.000000000000000000"/>
    <numFmt numFmtId="215" formatCode="#,##0.0000000000000000000"/>
    <numFmt numFmtId="216" formatCode="#,##0.00000000000000000000"/>
    <numFmt numFmtId="217" formatCode="#,##0.000000000000000000000"/>
    <numFmt numFmtId="218" formatCode="#,##0.0000000000000000000000"/>
    <numFmt numFmtId="219" formatCode="#,##0.00000000000000000000000"/>
    <numFmt numFmtId="220" formatCode="#,##0.000000000000000000000000"/>
  </numFmts>
  <fonts count="70">
    <font>
      <sz val="10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2"/>
      <name val="Verdana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0"/>
      <name val="Helv"/>
      <family val="0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6"/>
      <name val="Times New Roman"/>
      <family val="1"/>
    </font>
    <font>
      <i/>
      <sz val="11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58" fillId="8" borderId="0" applyNumberFormat="0" applyBorder="0" applyAlignment="0" applyProtection="0"/>
    <xf numFmtId="0" fontId="8" fillId="2" borderId="0" applyNumberFormat="0" applyBorder="0" applyAlignment="0" applyProtection="0"/>
    <xf numFmtId="0" fontId="58" fillId="9" borderId="0" applyNumberFormat="0" applyBorder="0" applyAlignment="0" applyProtection="0"/>
    <xf numFmtId="0" fontId="8" fillId="3" borderId="0" applyNumberFormat="0" applyBorder="0" applyAlignment="0" applyProtection="0"/>
    <xf numFmtId="0" fontId="58" fillId="10" borderId="0" applyNumberFormat="0" applyBorder="0" applyAlignment="0" applyProtection="0"/>
    <xf numFmtId="0" fontId="8" fillId="4" borderId="0" applyNumberFormat="0" applyBorder="0" applyAlignment="0" applyProtection="0"/>
    <xf numFmtId="0" fontId="58" fillId="11" borderId="0" applyNumberFormat="0" applyBorder="0" applyAlignment="0" applyProtection="0"/>
    <xf numFmtId="0" fontId="8" fillId="5" borderId="0" applyNumberFormat="0" applyBorder="0" applyAlignment="0" applyProtection="0"/>
    <xf numFmtId="0" fontId="58" fillId="12" borderId="0" applyNumberFormat="0" applyBorder="0" applyAlignment="0" applyProtection="0"/>
    <xf numFmtId="0" fontId="8" fillId="6" borderId="0" applyNumberFormat="0" applyBorder="0" applyAlignment="0" applyProtection="0"/>
    <xf numFmtId="0" fontId="58" fillId="13" borderId="0" applyNumberFormat="0" applyBorder="0" applyAlignment="0" applyProtection="0"/>
    <xf numFmtId="0" fontId="8" fillId="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5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58" fillId="18" borderId="0" applyNumberFormat="0" applyBorder="0" applyAlignment="0" applyProtection="0"/>
    <xf numFmtId="0" fontId="8" fillId="14" borderId="0" applyNumberFormat="0" applyBorder="0" applyAlignment="0" applyProtection="0"/>
    <xf numFmtId="0" fontId="58" fillId="19" borderId="0" applyNumberFormat="0" applyBorder="0" applyAlignment="0" applyProtection="0"/>
    <xf numFmtId="0" fontId="8" fillId="15" borderId="0" applyNumberFormat="0" applyBorder="0" applyAlignment="0" applyProtection="0"/>
    <xf numFmtId="0" fontId="58" fillId="20" borderId="0" applyNumberFormat="0" applyBorder="0" applyAlignment="0" applyProtection="0"/>
    <xf numFmtId="0" fontId="8" fillId="16" borderId="0" applyNumberFormat="0" applyBorder="0" applyAlignment="0" applyProtection="0"/>
    <xf numFmtId="0" fontId="58" fillId="21" borderId="0" applyNumberFormat="0" applyBorder="0" applyAlignment="0" applyProtection="0"/>
    <xf numFmtId="0" fontId="8" fillId="5" borderId="0" applyNumberFormat="0" applyBorder="0" applyAlignment="0" applyProtection="0"/>
    <xf numFmtId="0" fontId="58" fillId="22" borderId="0" applyNumberFormat="0" applyBorder="0" applyAlignment="0" applyProtection="0"/>
    <xf numFmtId="0" fontId="8" fillId="14" borderId="0" applyNumberFormat="0" applyBorder="0" applyAlignment="0" applyProtection="0"/>
    <xf numFmtId="0" fontId="58" fillId="23" borderId="0" applyNumberFormat="0" applyBorder="0" applyAlignment="0" applyProtection="0"/>
    <xf numFmtId="0" fontId="8" fillId="17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59" fillId="28" borderId="0" applyNumberFormat="0" applyBorder="0" applyAlignment="0" applyProtection="0"/>
    <xf numFmtId="0" fontId="18" fillId="24" borderId="0" applyNumberFormat="0" applyBorder="0" applyAlignment="0" applyProtection="0"/>
    <xf numFmtId="0" fontId="59" fillId="29" borderId="0" applyNumberFormat="0" applyBorder="0" applyAlignment="0" applyProtection="0"/>
    <xf numFmtId="0" fontId="18" fillId="15" borderId="0" applyNumberFormat="0" applyBorder="0" applyAlignment="0" applyProtection="0"/>
    <xf numFmtId="0" fontId="59" fillId="30" borderId="0" applyNumberFormat="0" applyBorder="0" applyAlignment="0" applyProtection="0"/>
    <xf numFmtId="0" fontId="18" fillId="16" borderId="0" applyNumberFormat="0" applyBorder="0" applyAlignment="0" applyProtection="0"/>
    <xf numFmtId="0" fontId="59" fillId="31" borderId="0" applyNumberFormat="0" applyBorder="0" applyAlignment="0" applyProtection="0"/>
    <xf numFmtId="0" fontId="18" fillId="25" borderId="0" applyNumberFormat="0" applyBorder="0" applyAlignment="0" applyProtection="0"/>
    <xf numFmtId="0" fontId="59" fillId="32" borderId="0" applyNumberFormat="0" applyBorder="0" applyAlignment="0" applyProtection="0"/>
    <xf numFmtId="0" fontId="18" fillId="26" borderId="0" applyNumberFormat="0" applyBorder="0" applyAlignment="0" applyProtection="0"/>
    <xf numFmtId="0" fontId="59" fillId="33" borderId="0" applyNumberFormat="0" applyBorder="0" applyAlignment="0" applyProtection="0"/>
    <xf numFmtId="0" fontId="18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37" borderId="0" applyNumberFormat="0" applyBorder="0" applyAlignment="0" applyProtection="0"/>
    <xf numFmtId="0" fontId="59" fillId="38" borderId="0" applyNumberFormat="0" applyBorder="0" applyAlignment="0" applyProtection="0"/>
    <xf numFmtId="0" fontId="18" fillId="34" borderId="0" applyNumberFormat="0" applyBorder="0" applyAlignment="0" applyProtection="0"/>
    <xf numFmtId="0" fontId="59" fillId="39" borderId="0" applyNumberFormat="0" applyBorder="0" applyAlignment="0" applyProtection="0"/>
    <xf numFmtId="0" fontId="18" fillId="35" borderId="0" applyNumberFormat="0" applyBorder="0" applyAlignment="0" applyProtection="0"/>
    <xf numFmtId="0" fontId="59" fillId="40" borderId="0" applyNumberFormat="0" applyBorder="0" applyAlignment="0" applyProtection="0"/>
    <xf numFmtId="0" fontId="18" fillId="36" borderId="0" applyNumberFormat="0" applyBorder="0" applyAlignment="0" applyProtection="0"/>
    <xf numFmtId="0" fontId="59" fillId="41" borderId="0" applyNumberFormat="0" applyBorder="0" applyAlignment="0" applyProtection="0"/>
    <xf numFmtId="0" fontId="18" fillId="25" borderId="0" applyNumberFormat="0" applyBorder="0" applyAlignment="0" applyProtection="0"/>
    <xf numFmtId="0" fontId="59" fillId="42" borderId="0" applyNumberFormat="0" applyBorder="0" applyAlignment="0" applyProtection="0"/>
    <xf numFmtId="0" fontId="18" fillId="26" borderId="0" applyNumberFormat="0" applyBorder="0" applyAlignment="0" applyProtection="0"/>
    <xf numFmtId="0" fontId="59" fillId="43" borderId="0" applyNumberFormat="0" applyBorder="0" applyAlignment="0" applyProtection="0"/>
    <xf numFmtId="0" fontId="18" fillId="37" borderId="0" applyNumberFormat="0" applyBorder="0" applyAlignment="0" applyProtection="0"/>
    <xf numFmtId="0" fontId="19" fillId="7" borderId="1" applyNumberFormat="0" applyAlignment="0" applyProtection="0"/>
    <xf numFmtId="0" fontId="33" fillId="7" borderId="1" applyNumberFormat="0" applyAlignment="0" applyProtection="0"/>
    <xf numFmtId="0" fontId="34" fillId="44" borderId="2" applyNumberFormat="0" applyAlignment="0" applyProtection="0"/>
    <xf numFmtId="0" fontId="35" fillId="44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36" fillId="0" borderId="4" applyNumberFormat="0" applyFill="0" applyAlignment="0" applyProtection="0"/>
    <xf numFmtId="0" fontId="61" fillId="0" borderId="5" applyNumberFormat="0" applyFill="0" applyAlignment="0" applyProtection="0"/>
    <xf numFmtId="0" fontId="37" fillId="0" borderId="6" applyNumberFormat="0" applyFill="0" applyAlignment="0" applyProtection="0"/>
    <xf numFmtId="0" fontId="62" fillId="0" borderId="7" applyNumberFormat="0" applyFill="0" applyAlignment="0" applyProtection="0"/>
    <xf numFmtId="0" fontId="38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1" fillId="0" borderId="9" applyNumberFormat="0" applyFill="0" applyAlignment="0" applyProtection="0"/>
    <xf numFmtId="0" fontId="17" fillId="0" borderId="10" applyNumberFormat="0" applyFill="0" applyAlignment="0" applyProtection="0"/>
    <xf numFmtId="0" fontId="22" fillId="45" borderId="11" applyNumberFormat="0" applyAlignment="0" applyProtection="0"/>
    <xf numFmtId="0" fontId="41" fillId="45" borderId="1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63" fillId="47" borderId="12" applyNumberFormat="0" applyAlignment="0" applyProtection="0"/>
    <xf numFmtId="0" fontId="23" fillId="44" borderId="1" applyNumberFormat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24" fillId="0" borderId="10" applyNumberFormat="0" applyFill="0" applyAlignment="0" applyProtection="0"/>
    <xf numFmtId="0" fontId="45" fillId="3" borderId="0" applyNumberFormat="0" applyBorder="0" applyAlignment="0" applyProtection="0"/>
    <xf numFmtId="0" fontId="65" fillId="48" borderId="0" applyNumberFormat="0" applyBorder="0" applyAlignment="0" applyProtection="0"/>
    <xf numFmtId="0" fontId="2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49" borderId="14" applyNumberFormat="0" applyFont="0" applyAlignment="0" applyProtection="0"/>
    <xf numFmtId="0" fontId="0" fillId="50" borderId="15" applyNumberFormat="0" applyFont="0" applyAlignment="0" applyProtection="0"/>
    <xf numFmtId="0" fontId="8" fillId="49" borderId="14" applyNumberFormat="0" applyFont="0" applyAlignment="0" applyProtection="0"/>
    <xf numFmtId="9" fontId="0" fillId="0" borderId="0" applyFont="0" applyFill="0" applyBorder="0" applyAlignment="0" applyProtection="0"/>
    <xf numFmtId="0" fontId="66" fillId="47" borderId="16" applyNumberFormat="0" applyAlignment="0" applyProtection="0"/>
    <xf numFmtId="0" fontId="26" fillId="44" borderId="2" applyNumberFormat="0" applyAlignment="0" applyProtection="0"/>
    <xf numFmtId="0" fontId="47" fillId="0" borderId="9" applyNumberFormat="0" applyFill="0" applyAlignment="0" applyProtection="0"/>
    <xf numFmtId="0" fontId="67" fillId="51" borderId="0" applyNumberFormat="0" applyBorder="0" applyAlignment="0" applyProtection="0"/>
    <xf numFmtId="0" fontId="44" fillId="0" borderId="0">
      <alignment/>
      <protection/>
    </xf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2" fillId="52" borderId="0" xfId="146" applyFont="1" applyFill="1" applyBorder="1">
      <alignment/>
      <protection/>
    </xf>
    <xf numFmtId="0" fontId="12" fillId="52" borderId="0" xfId="146" applyFont="1" applyFill="1">
      <alignment/>
      <protection/>
    </xf>
    <xf numFmtId="0" fontId="5" fillId="0" borderId="0" xfId="146" applyFont="1" applyAlignment="1">
      <alignment horizontal="center" vertical="center" wrapText="1"/>
      <protection/>
    </xf>
    <xf numFmtId="0" fontId="12" fillId="0" borderId="0" xfId="146" applyFont="1">
      <alignment/>
      <protection/>
    </xf>
    <xf numFmtId="0" fontId="13" fillId="52" borderId="0" xfId="146" applyFont="1" applyFill="1">
      <alignment/>
      <protection/>
    </xf>
    <xf numFmtId="0" fontId="14" fillId="52" borderId="0" xfId="146" applyFont="1" applyFill="1">
      <alignment/>
      <protection/>
    </xf>
    <xf numFmtId="0" fontId="14" fillId="0" borderId="0" xfId="146" applyFont="1">
      <alignment/>
      <protection/>
    </xf>
    <xf numFmtId="0" fontId="14" fillId="0" borderId="0" xfId="146" applyFont="1" applyAlignment="1">
      <alignment horizontal="right"/>
      <protection/>
    </xf>
    <xf numFmtId="0" fontId="15" fillId="0" borderId="0" xfId="146" applyFont="1">
      <alignment/>
      <protection/>
    </xf>
    <xf numFmtId="0" fontId="16" fillId="0" borderId="0" xfId="146" applyFont="1" applyAlignment="1">
      <alignment horizontal="right"/>
      <protection/>
    </xf>
    <xf numFmtId="0" fontId="12" fillId="52" borderId="17" xfId="146" applyFont="1" applyFill="1" applyBorder="1">
      <alignment/>
      <protection/>
    </xf>
    <xf numFmtId="0" fontId="14" fillId="52" borderId="18" xfId="146" applyFont="1" applyFill="1" applyBorder="1" applyAlignment="1">
      <alignment horizontal="center" vertical="center" wrapText="1"/>
      <protection/>
    </xf>
    <xf numFmtId="0" fontId="14" fillId="52" borderId="19" xfId="146" applyFont="1" applyFill="1" applyBorder="1" applyAlignment="1">
      <alignment horizontal="center" vertical="center" wrapText="1"/>
      <protection/>
    </xf>
    <xf numFmtId="0" fontId="14" fillId="52" borderId="20" xfId="146" applyFont="1" applyFill="1" applyBorder="1" applyAlignment="1">
      <alignment horizontal="center" vertical="center" wrapText="1"/>
      <protection/>
    </xf>
    <xf numFmtId="0" fontId="2" fillId="52" borderId="21" xfId="71" applyFont="1" applyFill="1" applyBorder="1" applyAlignment="1">
      <alignment horizontal="center" vertical="center" wrapText="1"/>
      <protection/>
    </xf>
    <xf numFmtId="0" fontId="12" fillId="6" borderId="0" xfId="146" applyFont="1" applyFill="1">
      <alignment/>
      <protection/>
    </xf>
    <xf numFmtId="184" fontId="14" fillId="0" borderId="0" xfId="146" applyNumberFormat="1" applyFont="1">
      <alignment/>
      <protection/>
    </xf>
    <xf numFmtId="188" fontId="14" fillId="0" borderId="0" xfId="146" applyNumberFormat="1" applyFont="1">
      <alignment/>
      <protection/>
    </xf>
    <xf numFmtId="0" fontId="13" fillId="52" borderId="0" xfId="146" applyFont="1" applyFill="1" applyBorder="1">
      <alignment/>
      <protection/>
    </xf>
    <xf numFmtId="0" fontId="14" fillId="52" borderId="0" xfId="146" applyFont="1" applyFill="1" applyBorder="1">
      <alignment/>
      <protection/>
    </xf>
    <xf numFmtId="0" fontId="14" fillId="0" borderId="0" xfId="146" applyFont="1" applyBorder="1">
      <alignment/>
      <protection/>
    </xf>
    <xf numFmtId="184" fontId="2" fillId="0" borderId="0" xfId="71" applyNumberFormat="1" applyFont="1" applyFill="1" applyBorder="1" applyAlignment="1">
      <alignment vertical="center"/>
      <protection/>
    </xf>
    <xf numFmtId="189" fontId="16" fillId="0" borderId="0" xfId="71" applyNumberFormat="1" applyFont="1" applyFill="1" applyBorder="1" applyAlignment="1">
      <alignment vertical="center"/>
      <protection/>
    </xf>
    <xf numFmtId="189" fontId="2" fillId="0" borderId="0" xfId="71" applyNumberFormat="1" applyFont="1" applyFill="1" applyBorder="1" applyAlignment="1">
      <alignment vertical="center"/>
      <protection/>
    </xf>
    <xf numFmtId="189" fontId="3" fillId="0" borderId="0" xfId="71" applyNumberFormat="1" applyFont="1" applyFill="1" applyBorder="1" applyAlignment="1">
      <alignment vertical="center"/>
      <protection/>
    </xf>
    <xf numFmtId="0" fontId="12" fillId="0" borderId="0" xfId="146" applyFont="1" applyBorder="1">
      <alignment/>
      <protection/>
    </xf>
    <xf numFmtId="0" fontId="9" fillId="52" borderId="0" xfId="71" applyFont="1" applyFill="1" applyBorder="1" applyAlignment="1">
      <alignment horizontal="center" vertical="center" wrapText="1"/>
      <protection/>
    </xf>
    <xf numFmtId="0" fontId="16" fillId="52" borderId="0" xfId="71" applyFont="1" applyFill="1" applyBorder="1" applyAlignment="1">
      <alignment horizontal="center" vertical="center" wrapText="1"/>
      <protection/>
    </xf>
    <xf numFmtId="0" fontId="2" fillId="0" borderId="0" xfId="146" applyFont="1" applyBorder="1">
      <alignment/>
      <protection/>
    </xf>
    <xf numFmtId="0" fontId="15" fillId="0" borderId="0" xfId="146" applyFont="1" applyBorder="1">
      <alignment/>
      <protection/>
    </xf>
    <xf numFmtId="0" fontId="2" fillId="44" borderId="21" xfId="71" applyFont="1" applyFill="1" applyBorder="1" applyAlignment="1">
      <alignment horizontal="center" vertical="center" wrapText="1"/>
      <protection/>
    </xf>
    <xf numFmtId="4" fontId="9" fillId="0" borderId="0" xfId="146" applyNumberFormat="1" applyFont="1" applyBorder="1">
      <alignment/>
      <protection/>
    </xf>
    <xf numFmtId="188" fontId="9" fillId="0" borderId="0" xfId="146" applyNumberFormat="1" applyFont="1">
      <alignment/>
      <protection/>
    </xf>
    <xf numFmtId="4" fontId="9" fillId="0" borderId="0" xfId="71" applyNumberFormat="1" applyFont="1" applyFill="1" applyBorder="1" applyAlignment="1">
      <alignment vertical="center"/>
      <protection/>
    </xf>
    <xf numFmtId="4" fontId="9" fillId="0" borderId="0" xfId="146" applyNumberFormat="1" applyFont="1">
      <alignment/>
      <protection/>
    </xf>
    <xf numFmtId="184" fontId="16" fillId="0" borderId="0" xfId="146" applyNumberFormat="1" applyFont="1" applyBorder="1">
      <alignment/>
      <protection/>
    </xf>
    <xf numFmtId="0" fontId="14" fillId="0" borderId="17" xfId="146" applyFont="1" applyBorder="1">
      <alignment/>
      <protection/>
    </xf>
    <xf numFmtId="0" fontId="15" fillId="0" borderId="17" xfId="146" applyFont="1" applyBorder="1">
      <alignment/>
      <protection/>
    </xf>
    <xf numFmtId="184" fontId="3" fillId="52" borderId="17" xfId="146" applyNumberFormat="1" applyFont="1" applyFill="1" applyBorder="1">
      <alignment/>
      <protection/>
    </xf>
    <xf numFmtId="0" fontId="17" fillId="52" borderId="17" xfId="146" applyFont="1" applyFill="1" applyBorder="1">
      <alignment/>
      <protection/>
    </xf>
    <xf numFmtId="4" fontId="30" fillId="0" borderId="17" xfId="146" applyNumberFormat="1" applyFont="1" applyBorder="1">
      <alignment/>
      <protection/>
    </xf>
    <xf numFmtId="4" fontId="30" fillId="0" borderId="0" xfId="146" applyNumberFormat="1" applyFont="1" applyBorder="1">
      <alignment/>
      <protection/>
    </xf>
    <xf numFmtId="184" fontId="1" fillId="0" borderId="0" xfId="146" applyNumberFormat="1" applyFont="1" applyFill="1" applyBorder="1" applyAlignment="1">
      <alignment vertical="center"/>
      <protection/>
    </xf>
    <xf numFmtId="189" fontId="1" fillId="0" borderId="0" xfId="146" applyNumberFormat="1" applyFont="1" applyFill="1" applyBorder="1" applyAlignment="1">
      <alignment vertical="center"/>
      <protection/>
    </xf>
    <xf numFmtId="0" fontId="2" fillId="0" borderId="17" xfId="71" applyFont="1" applyFill="1" applyBorder="1" applyAlignment="1">
      <alignment horizontal="center" vertical="center" wrapText="1"/>
      <protection/>
    </xf>
    <xf numFmtId="0" fontId="2" fillId="0" borderId="17" xfId="71" applyFont="1" applyFill="1" applyBorder="1" applyAlignment="1">
      <alignment horizontal="left" vertical="center" wrapText="1"/>
      <protection/>
    </xf>
    <xf numFmtId="4" fontId="9" fillId="0" borderId="0" xfId="71" applyNumberFormat="1" applyFont="1" applyFill="1" applyBorder="1" applyAlignment="1">
      <alignment horizontal="right" vertical="center"/>
      <protection/>
    </xf>
    <xf numFmtId="184" fontId="3" fillId="0" borderId="0" xfId="71" applyNumberFormat="1" applyFont="1" applyFill="1" applyBorder="1" applyAlignment="1">
      <alignment vertical="center"/>
      <protection/>
    </xf>
    <xf numFmtId="185" fontId="9" fillId="0" borderId="0" xfId="146" applyNumberFormat="1" applyFont="1">
      <alignment/>
      <protection/>
    </xf>
    <xf numFmtId="185" fontId="12" fillId="0" borderId="0" xfId="146" applyNumberFormat="1" applyFont="1">
      <alignment/>
      <protection/>
    </xf>
    <xf numFmtId="0" fontId="16" fillId="52" borderId="19" xfId="146" applyFont="1" applyFill="1" applyBorder="1" applyAlignment="1">
      <alignment horizontal="center" vertical="center" wrapText="1"/>
      <protection/>
    </xf>
    <xf numFmtId="0" fontId="16" fillId="0" borderId="19" xfId="146" applyFont="1" applyFill="1" applyBorder="1" applyAlignment="1">
      <alignment horizontal="center" vertical="center" wrapText="1"/>
      <protection/>
    </xf>
    <xf numFmtId="0" fontId="9" fillId="52" borderId="19" xfId="146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71" applyFont="1" applyFill="1" applyBorder="1" applyAlignment="1">
      <alignment horizontal="left" vertical="top" wrapText="1"/>
      <protection/>
    </xf>
    <xf numFmtId="49" fontId="2" fillId="0" borderId="17" xfId="71" applyNumberFormat="1" applyFont="1" applyFill="1" applyBorder="1" applyAlignment="1">
      <alignment horizontal="left" vertical="center" wrapText="1"/>
      <protection/>
    </xf>
    <xf numFmtId="0" fontId="3" fillId="44" borderId="17" xfId="71" applyFont="1" applyFill="1" applyBorder="1" applyAlignment="1">
      <alignment horizontal="left" vertical="center" wrapText="1"/>
      <protection/>
    </xf>
    <xf numFmtId="0" fontId="2" fillId="6" borderId="21" xfId="71" applyFont="1" applyFill="1" applyBorder="1" applyAlignment="1">
      <alignment horizontal="center" vertical="center" wrapText="1"/>
      <protection/>
    </xf>
    <xf numFmtId="0" fontId="3" fillId="6" borderId="17" xfId="146" applyFont="1" applyFill="1" applyBorder="1" applyAlignment="1">
      <alignment vertical="center" wrapText="1"/>
      <protection/>
    </xf>
    <xf numFmtId="0" fontId="13" fillId="52" borderId="17" xfId="146" applyFont="1" applyFill="1" applyBorder="1">
      <alignment/>
      <protection/>
    </xf>
    <xf numFmtId="0" fontId="16" fillId="52" borderId="18" xfId="146" applyFont="1" applyFill="1" applyBorder="1" applyAlignment="1">
      <alignment horizontal="center" vertical="center" wrapText="1"/>
      <protection/>
    </xf>
    <xf numFmtId="0" fontId="16" fillId="52" borderId="20" xfId="146" applyFont="1" applyFill="1" applyBorder="1" applyAlignment="1">
      <alignment horizontal="center" vertical="center" wrapText="1"/>
      <protection/>
    </xf>
    <xf numFmtId="187" fontId="14" fillId="52" borderId="0" xfId="146" applyNumberFormat="1" applyFont="1" applyFill="1" applyBorder="1">
      <alignment/>
      <protection/>
    </xf>
    <xf numFmtId="0" fontId="2" fillId="44" borderId="17" xfId="0" applyFont="1" applyFill="1" applyBorder="1" applyAlignment="1">
      <alignment horizontal="center" vertical="center" wrapText="1"/>
    </xf>
    <xf numFmtId="0" fontId="3" fillId="44" borderId="17" xfId="71" applyFont="1" applyFill="1" applyBorder="1" applyAlignment="1">
      <alignment horizontal="center" vertical="center" wrapText="1"/>
      <protection/>
    </xf>
    <xf numFmtId="0" fontId="3" fillId="6" borderId="17" xfId="71" applyFont="1" applyFill="1" applyBorder="1" applyAlignment="1">
      <alignment horizontal="center" vertical="center" wrapText="1"/>
      <protection/>
    </xf>
    <xf numFmtId="184" fontId="49" fillId="53" borderId="17" xfId="146" applyNumberFormat="1" applyFont="1" applyFill="1" applyBorder="1" applyAlignment="1">
      <alignment vertical="center"/>
      <protection/>
    </xf>
    <xf numFmtId="183" fontId="49" fillId="0" borderId="17" xfId="0" applyNumberFormat="1" applyFont="1" applyFill="1" applyBorder="1" applyAlignment="1">
      <alignment vertical="center"/>
    </xf>
    <xf numFmtId="184" fontId="49" fillId="0" borderId="17" xfId="0" applyNumberFormat="1" applyFont="1" applyFill="1" applyBorder="1" applyAlignment="1">
      <alignment vertical="center" wrapText="1"/>
    </xf>
    <xf numFmtId="189" fontId="49" fillId="52" borderId="17" xfId="146" applyNumberFormat="1" applyFont="1" applyFill="1" applyBorder="1" applyAlignment="1">
      <alignment vertical="center"/>
      <protection/>
    </xf>
    <xf numFmtId="184" fontId="5" fillId="52" borderId="17" xfId="146" applyNumberFormat="1" applyFont="1" applyFill="1" applyBorder="1" applyAlignment="1">
      <alignment vertical="center"/>
      <protection/>
    </xf>
    <xf numFmtId="189" fontId="49" fillId="0" borderId="17" xfId="146" applyNumberFormat="1" applyFont="1" applyFill="1" applyBorder="1" applyAlignment="1">
      <alignment vertical="center"/>
      <protection/>
    </xf>
    <xf numFmtId="184" fontId="69" fillId="53" borderId="17" xfId="146" applyNumberFormat="1" applyFont="1" applyFill="1" applyBorder="1" applyAlignment="1">
      <alignment vertical="center"/>
      <protection/>
    </xf>
    <xf numFmtId="184" fontId="5" fillId="44" borderId="17" xfId="146" applyNumberFormat="1" applyFont="1" applyFill="1" applyBorder="1" applyAlignment="1">
      <alignment vertical="center"/>
      <protection/>
    </xf>
    <xf numFmtId="189" fontId="49" fillId="44" borderId="17" xfId="146" applyNumberFormat="1" applyFont="1" applyFill="1" applyBorder="1" applyAlignment="1">
      <alignment vertical="center"/>
      <protection/>
    </xf>
    <xf numFmtId="184" fontId="53" fillId="44" borderId="17" xfId="146" applyNumberFormat="1" applyFont="1" applyFill="1" applyBorder="1" applyAlignment="1">
      <alignment vertical="center"/>
      <protection/>
    </xf>
    <xf numFmtId="184" fontId="49" fillId="52" borderId="17" xfId="146" applyNumberFormat="1" applyFont="1" applyFill="1" applyBorder="1" applyAlignment="1">
      <alignment horizontal="right" vertical="center"/>
      <protection/>
    </xf>
    <xf numFmtId="184" fontId="69" fillId="52" borderId="17" xfId="146" applyNumberFormat="1" applyFont="1" applyFill="1" applyBorder="1" applyAlignment="1">
      <alignment horizontal="right" vertical="center"/>
      <protection/>
    </xf>
    <xf numFmtId="184" fontId="5" fillId="6" borderId="17" xfId="146" applyNumberFormat="1" applyFont="1" applyFill="1" applyBorder="1" applyAlignment="1">
      <alignment vertical="center"/>
      <protection/>
    </xf>
    <xf numFmtId="189" fontId="5" fillId="6" borderId="17" xfId="146" applyNumberFormat="1" applyFont="1" applyFill="1" applyBorder="1" applyAlignment="1">
      <alignment vertical="center"/>
      <protection/>
    </xf>
    <xf numFmtId="0" fontId="52" fillId="0" borderId="22" xfId="71" applyFont="1" applyFill="1" applyBorder="1" applyAlignment="1">
      <alignment horizontal="left" wrapText="1"/>
      <protection/>
    </xf>
    <xf numFmtId="0" fontId="9" fillId="0" borderId="22" xfId="71" applyFont="1" applyFill="1" applyBorder="1" applyAlignment="1">
      <alignment horizontal="left" wrapText="1"/>
      <protection/>
    </xf>
    <xf numFmtId="184" fontId="52" fillId="0" borderId="22" xfId="146" applyNumberFormat="1" applyFont="1" applyFill="1" applyBorder="1" applyAlignment="1">
      <alignment horizontal="center"/>
      <protection/>
    </xf>
    <xf numFmtId="184" fontId="51" fillId="0" borderId="22" xfId="146" applyNumberFormat="1" applyFont="1" applyFill="1" applyBorder="1" applyAlignment="1">
      <alignment horizontal="center"/>
      <protection/>
    </xf>
    <xf numFmtId="0" fontId="51" fillId="0" borderId="0" xfId="146" applyFont="1" applyAlignment="1">
      <alignment horizontal="left" vertical="center"/>
      <protection/>
    </xf>
    <xf numFmtId="0" fontId="5" fillId="0" borderId="0" xfId="146" applyFont="1" applyAlignment="1">
      <alignment horizontal="center" vertical="center" wrapText="1"/>
      <protection/>
    </xf>
    <xf numFmtId="0" fontId="9" fillId="52" borderId="23" xfId="146" applyFont="1" applyFill="1" applyBorder="1" applyAlignment="1">
      <alignment horizontal="center" vertical="center" wrapText="1"/>
      <protection/>
    </xf>
    <xf numFmtId="0" fontId="9" fillId="52" borderId="24" xfId="146" applyFont="1" applyFill="1" applyBorder="1" applyAlignment="1">
      <alignment horizontal="center" vertical="center" wrapText="1"/>
      <protection/>
    </xf>
    <xf numFmtId="0" fontId="9" fillId="52" borderId="19" xfId="146" applyFont="1" applyFill="1" applyBorder="1" applyAlignment="1">
      <alignment horizontal="center" vertical="center" wrapText="1"/>
      <protection/>
    </xf>
    <xf numFmtId="0" fontId="9" fillId="0" borderId="23" xfId="146" applyFont="1" applyFill="1" applyBorder="1" applyAlignment="1">
      <alignment horizontal="center" vertical="center" wrapText="1"/>
      <protection/>
    </xf>
    <xf numFmtId="0" fontId="9" fillId="0" borderId="24" xfId="146" applyFont="1" applyFill="1" applyBorder="1" applyAlignment="1">
      <alignment horizontal="center" vertical="center" wrapText="1"/>
      <protection/>
    </xf>
    <xf numFmtId="0" fontId="9" fillId="0" borderId="19" xfId="146" applyFont="1" applyFill="1" applyBorder="1" applyAlignment="1">
      <alignment horizontal="center" vertical="center" wrapText="1"/>
      <protection/>
    </xf>
    <xf numFmtId="0" fontId="9" fillId="0" borderId="25" xfId="146" applyFont="1" applyFill="1" applyBorder="1" applyAlignment="1">
      <alignment horizontal="center" vertical="center" wrapText="1"/>
      <protection/>
    </xf>
    <xf numFmtId="0" fontId="9" fillId="0" borderId="21" xfId="146" applyFont="1" applyFill="1" applyBorder="1" applyAlignment="1">
      <alignment horizontal="center" vertical="center" wrapText="1"/>
      <protection/>
    </xf>
    <xf numFmtId="0" fontId="9" fillId="52" borderId="26" xfId="146" applyFont="1" applyFill="1" applyBorder="1" applyAlignment="1">
      <alignment horizontal="center" vertical="center" wrapText="1"/>
      <protection/>
    </xf>
    <xf numFmtId="0" fontId="9" fillId="52" borderId="25" xfId="146" applyFont="1" applyFill="1" applyBorder="1" applyAlignment="1">
      <alignment horizontal="center" vertical="center" wrapText="1"/>
      <protection/>
    </xf>
    <xf numFmtId="0" fontId="9" fillId="52" borderId="21" xfId="146" applyFont="1" applyFill="1" applyBorder="1" applyAlignment="1">
      <alignment horizontal="center" vertical="center" wrapText="1"/>
      <protection/>
    </xf>
  </cellXfs>
  <cellStyles count="1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1 2" xfId="22"/>
    <cellStyle name="20% – Акцентування2" xfId="23"/>
    <cellStyle name="20% – Акцентування2 2" xfId="24"/>
    <cellStyle name="20% – Акцентування3" xfId="25"/>
    <cellStyle name="20% – Акцентування3 2" xfId="26"/>
    <cellStyle name="20% – Акцентування4" xfId="27"/>
    <cellStyle name="20% – Акцентування4 2" xfId="28"/>
    <cellStyle name="20% – Акцентування5" xfId="29"/>
    <cellStyle name="20% – Акцентування5 2" xfId="30"/>
    <cellStyle name="20% – Акцентування6" xfId="31"/>
    <cellStyle name="20% – Акцентування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40% – Акцентування1" xfId="39"/>
    <cellStyle name="40% – Акцентування1 2" xfId="40"/>
    <cellStyle name="40% – Акцентування2" xfId="41"/>
    <cellStyle name="40% – Акцентування2 2" xfId="42"/>
    <cellStyle name="40% – Акцентування3" xfId="43"/>
    <cellStyle name="40% – Акцентування3 2" xfId="44"/>
    <cellStyle name="40% – Акцентування4" xfId="45"/>
    <cellStyle name="40% – Акцентування4 2" xfId="46"/>
    <cellStyle name="40% – Акцентування5" xfId="47"/>
    <cellStyle name="40% – Акцентування5 2" xfId="48"/>
    <cellStyle name="40% – Акцентування6" xfId="49"/>
    <cellStyle name="40% – Акцентування6 2" xfId="50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60% – Акцентування1" xfId="57"/>
    <cellStyle name="60% – Акцентування1 2" xfId="58"/>
    <cellStyle name="60% – Акцентування2" xfId="59"/>
    <cellStyle name="60% – Акцентування2 2" xfId="60"/>
    <cellStyle name="60% – Акцентування3" xfId="61"/>
    <cellStyle name="60% – Акцентування3 2" xfId="62"/>
    <cellStyle name="60% – Акцентування4" xfId="63"/>
    <cellStyle name="60% – Акцентування4 2" xfId="64"/>
    <cellStyle name="60% – Акцентування5" xfId="65"/>
    <cellStyle name="60% – Акцентування5 2" xfId="66"/>
    <cellStyle name="60% – Акцентування6" xfId="67"/>
    <cellStyle name="60% – Акцентування6 2" xfId="68"/>
    <cellStyle name="Excel Built-in Normal" xfId="69"/>
    <cellStyle name="Normal" xfId="70"/>
    <cellStyle name="Normal_Доходи" xfId="71"/>
    <cellStyle name="Normalny 2 2" xfId="72"/>
    <cellStyle name="Normalny 2 2 2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Акцентування1" xfId="80"/>
    <cellStyle name="Акцентування1 2" xfId="81"/>
    <cellStyle name="Акцентування2" xfId="82"/>
    <cellStyle name="Акцентування2 2" xfId="83"/>
    <cellStyle name="Акцентування3" xfId="84"/>
    <cellStyle name="Акцентування3 2" xfId="85"/>
    <cellStyle name="Акцентування4" xfId="86"/>
    <cellStyle name="Акцентування4 2" xfId="87"/>
    <cellStyle name="Акцентування5" xfId="88"/>
    <cellStyle name="Акцентування5 2" xfId="89"/>
    <cellStyle name="Акцентування6" xfId="90"/>
    <cellStyle name="Акцентування6 2" xfId="91"/>
    <cellStyle name="Ввід 2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 2" xfId="118"/>
    <cellStyle name="Звичайний 2 2 2" xfId="119"/>
    <cellStyle name="Звичайний 2 3" xfId="120"/>
    <cellStyle name="Звичайний 20" xfId="121"/>
    <cellStyle name="Звичайний 21" xfId="122"/>
    <cellStyle name="Звичайний 22" xfId="123"/>
    <cellStyle name="Звичайний 3" xfId="124"/>
    <cellStyle name="Звичайний 3 2" xfId="125"/>
    <cellStyle name="Звичайний 4" xfId="126"/>
    <cellStyle name="Звичайний 4 2" xfId="127"/>
    <cellStyle name="Звичайний 4 2 2" xfId="128"/>
    <cellStyle name="Звичайний 4 3" xfId="129"/>
    <cellStyle name="Звичайний 5" xfId="130"/>
    <cellStyle name="Звичайний 6" xfId="131"/>
    <cellStyle name="Звичайний 7" xfId="132"/>
    <cellStyle name="Звичайний 8" xfId="133"/>
    <cellStyle name="Звичайний 9" xfId="134"/>
    <cellStyle name="Зв'язана клітинка 2" xfId="135"/>
    <cellStyle name="Итог" xfId="136"/>
    <cellStyle name="Контрольна клітинка 2" xfId="137"/>
    <cellStyle name="Контрольная ячейка" xfId="138"/>
    <cellStyle name="Назва 2" xfId="139"/>
    <cellStyle name="Название" xfId="140"/>
    <cellStyle name="Нейтральный" xfId="141"/>
    <cellStyle name="Обчислення" xfId="142"/>
    <cellStyle name="Обчислення 2" xfId="143"/>
    <cellStyle name="Обычный 2" xfId="144"/>
    <cellStyle name="Обычный 3" xfId="145"/>
    <cellStyle name="Обычный_3511060_41020200_DDdot" xfId="146"/>
    <cellStyle name="Followed Hyperlink" xfId="147"/>
    <cellStyle name="Підсумок" xfId="148"/>
    <cellStyle name="Підсумок 2" xfId="149"/>
    <cellStyle name="Плохой" xfId="150"/>
    <cellStyle name="Поганий" xfId="151"/>
    <cellStyle name="Поганий 2" xfId="152"/>
    <cellStyle name="Пояснение" xfId="153"/>
    <cellStyle name="Примечание" xfId="154"/>
    <cellStyle name="Примітка" xfId="155"/>
    <cellStyle name="Примітка 2" xfId="156"/>
    <cellStyle name="Percent" xfId="157"/>
    <cellStyle name="Результат" xfId="158"/>
    <cellStyle name="Результат 2" xfId="159"/>
    <cellStyle name="Связанная ячейка" xfId="160"/>
    <cellStyle name="Середній" xfId="161"/>
    <cellStyle name="Стиль 1" xfId="162"/>
    <cellStyle name="Текст попередження 2" xfId="163"/>
    <cellStyle name="Текст пояснення" xfId="164"/>
    <cellStyle name="Текст пояснення 2" xfId="165"/>
    <cellStyle name="Текст предупреждения" xfId="166"/>
    <cellStyle name="Comma" xfId="167"/>
    <cellStyle name="Comma [0]" xfId="168"/>
    <cellStyle name="Фінансовий 2" xfId="169"/>
    <cellStyle name="Фінансовий 2 2" xfId="170"/>
    <cellStyle name="Фінансовий 2 2 2" xfId="171"/>
    <cellStyle name="Фінансовий 2 3" xfId="172"/>
    <cellStyle name="Хороший" xfId="173"/>
  </cellStyles>
  <dxfs count="2">
    <dxf>
      <font>
        <color indexed="20"/>
      </font>
    </dxf>
    <dxf>
      <font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81</xdr:row>
      <xdr:rowOff>104775</xdr:rowOff>
    </xdr:from>
    <xdr:ext cx="2095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85725" y="448056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97"/>
  <sheetViews>
    <sheetView tabSelected="1" view="pageBreakPreview" zoomScale="70" zoomScaleSheetLayoutView="70" zoomScalePageLayoutView="0" workbookViewId="0" topLeftCell="A1">
      <pane xSplit="3" ySplit="12" topLeftCell="H5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5" sqref="O5:R5"/>
    </sheetView>
  </sheetViews>
  <sheetFormatPr defaultColWidth="9.00390625" defaultRowHeight="12.75"/>
  <cols>
    <col min="1" max="1" width="21.25390625" style="2" customWidth="1"/>
    <col min="2" max="2" width="36.25390625" style="2" hidden="1" customWidth="1"/>
    <col min="3" max="3" width="41.625" style="5" customWidth="1"/>
    <col min="4" max="4" width="17.125" style="6" customWidth="1"/>
    <col min="5" max="5" width="17.875" style="6" customWidth="1"/>
    <col min="6" max="6" width="14.75390625" style="6" customWidth="1"/>
    <col min="7" max="13" width="17.125" style="7" customWidth="1"/>
    <col min="14" max="14" width="15.625" style="7" customWidth="1"/>
    <col min="15" max="15" width="15.125" style="7" customWidth="1"/>
    <col min="16" max="16" width="17.75390625" style="7" customWidth="1"/>
    <col min="17" max="17" width="15.25390625" style="9" customWidth="1"/>
    <col min="18" max="18" width="17.125" style="9" customWidth="1"/>
    <col min="19" max="19" width="27.875" style="4" customWidth="1"/>
    <col min="20" max="16384" width="9.125" style="4" customWidth="1"/>
  </cols>
  <sheetData>
    <row r="2" spans="15:18" ht="30">
      <c r="O2" s="85" t="s">
        <v>35</v>
      </c>
      <c r="P2" s="85"/>
      <c r="Q2" s="85"/>
      <c r="R2" s="85"/>
    </row>
    <row r="3" spans="15:18" ht="30">
      <c r="O3" s="85" t="s">
        <v>134</v>
      </c>
      <c r="P3" s="85"/>
      <c r="Q3" s="85"/>
      <c r="R3" s="85"/>
    </row>
    <row r="4" spans="15:18" ht="30">
      <c r="O4" s="85" t="s">
        <v>135</v>
      </c>
      <c r="P4" s="85"/>
      <c r="Q4" s="85"/>
      <c r="R4" s="85"/>
    </row>
    <row r="5" spans="15:18" ht="30">
      <c r="O5" s="85" t="s">
        <v>138</v>
      </c>
      <c r="P5" s="85"/>
      <c r="Q5" s="85"/>
      <c r="R5" s="85"/>
    </row>
    <row r="8" spans="3:18" ht="42.75" customHeight="1">
      <c r="C8" s="86" t="s">
        <v>132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3"/>
    </row>
    <row r="9" spans="10:18" ht="19.5" customHeight="1">
      <c r="J9" s="8"/>
      <c r="K9" s="8"/>
      <c r="L9" s="8"/>
      <c r="M9" s="8"/>
      <c r="N9" s="8"/>
      <c r="O9" s="8"/>
      <c r="P9" s="9"/>
      <c r="R9" s="10" t="s">
        <v>42</v>
      </c>
    </row>
    <row r="10" spans="1:18" ht="27" customHeight="1">
      <c r="A10" s="87" t="s">
        <v>37</v>
      </c>
      <c r="B10" s="60"/>
      <c r="C10" s="87" t="s">
        <v>38</v>
      </c>
      <c r="D10" s="87" t="s">
        <v>118</v>
      </c>
      <c r="E10" s="87" t="s">
        <v>136</v>
      </c>
      <c r="F10" s="87" t="s">
        <v>1</v>
      </c>
      <c r="G10" s="90" t="s">
        <v>117</v>
      </c>
      <c r="H10" s="90" t="s">
        <v>40</v>
      </c>
      <c r="I10" s="90" t="s">
        <v>2</v>
      </c>
      <c r="J10" s="93" t="s">
        <v>131</v>
      </c>
      <c r="K10" s="93"/>
      <c r="L10" s="93"/>
      <c r="M10" s="93"/>
      <c r="N10" s="93"/>
      <c r="O10" s="93"/>
      <c r="P10" s="93"/>
      <c r="Q10" s="93"/>
      <c r="R10" s="94"/>
    </row>
    <row r="11" spans="1:18" ht="32.25" customHeight="1">
      <c r="A11" s="88"/>
      <c r="B11" s="60"/>
      <c r="C11" s="88"/>
      <c r="D11" s="88"/>
      <c r="E11" s="88"/>
      <c r="F11" s="88"/>
      <c r="G11" s="91"/>
      <c r="H11" s="91"/>
      <c r="I11" s="91"/>
      <c r="J11" s="87" t="s">
        <v>3</v>
      </c>
      <c r="K11" s="95" t="s">
        <v>4</v>
      </c>
      <c r="L11" s="96"/>
      <c r="M11" s="96"/>
      <c r="N11" s="96"/>
      <c r="O11" s="96"/>
      <c r="P11" s="97"/>
      <c r="Q11" s="87" t="s">
        <v>5</v>
      </c>
      <c r="R11" s="91" t="s">
        <v>127</v>
      </c>
    </row>
    <row r="12" spans="1:18" ht="146.25" customHeight="1">
      <c r="A12" s="89"/>
      <c r="B12" s="60"/>
      <c r="C12" s="89"/>
      <c r="D12" s="89"/>
      <c r="E12" s="89"/>
      <c r="F12" s="89"/>
      <c r="G12" s="92"/>
      <c r="H12" s="92"/>
      <c r="I12" s="92"/>
      <c r="J12" s="89"/>
      <c r="K12" s="61" t="s">
        <v>130</v>
      </c>
      <c r="L12" s="51" t="s">
        <v>6</v>
      </c>
      <c r="M12" s="62" t="s">
        <v>7</v>
      </c>
      <c r="N12" s="53" t="s">
        <v>8</v>
      </c>
      <c r="O12" s="62" t="s">
        <v>34</v>
      </c>
      <c r="P12" s="53" t="s">
        <v>8</v>
      </c>
      <c r="Q12" s="89"/>
      <c r="R12" s="92"/>
    </row>
    <row r="13" spans="1:19" ht="27" customHeight="1">
      <c r="A13" s="51">
        <v>1</v>
      </c>
      <c r="B13" s="51"/>
      <c r="C13" s="51">
        <v>2</v>
      </c>
      <c r="D13" s="51">
        <v>3</v>
      </c>
      <c r="E13" s="51">
        <v>4</v>
      </c>
      <c r="F13" s="51">
        <v>5</v>
      </c>
      <c r="G13" s="52">
        <v>6</v>
      </c>
      <c r="H13" s="52">
        <v>7</v>
      </c>
      <c r="I13" s="52">
        <v>8</v>
      </c>
      <c r="J13" s="13">
        <v>9</v>
      </c>
      <c r="K13" s="12">
        <v>10</v>
      </c>
      <c r="L13" s="13">
        <v>11</v>
      </c>
      <c r="M13" s="14">
        <v>12</v>
      </c>
      <c r="N13" s="13">
        <v>13</v>
      </c>
      <c r="O13" s="14">
        <v>14</v>
      </c>
      <c r="P13" s="13">
        <v>15</v>
      </c>
      <c r="Q13" s="13">
        <v>16</v>
      </c>
      <c r="R13" s="52">
        <v>17</v>
      </c>
      <c r="S13" s="41"/>
    </row>
    <row r="14" spans="1:19" ht="52.5" customHeight="1">
      <c r="A14" s="45" t="s">
        <v>9</v>
      </c>
      <c r="B14" s="46" t="s">
        <v>43</v>
      </c>
      <c r="C14" s="46" t="s">
        <v>129</v>
      </c>
      <c r="D14" s="67">
        <v>1034</v>
      </c>
      <c r="E14" s="67"/>
      <c r="F14" s="67">
        <f aca="true" t="shared" si="0" ref="F14:F77">SUM(D14:E14)</f>
        <v>1034</v>
      </c>
      <c r="G14" s="68">
        <v>7030</v>
      </c>
      <c r="H14" s="68">
        <v>6</v>
      </c>
      <c r="I14" s="69">
        <f aca="true" t="shared" si="1" ref="I14:I77">G14+H14</f>
        <v>7036</v>
      </c>
      <c r="J14" s="67">
        <f aca="true" t="shared" si="2" ref="J14:J73">ROUND(F14/$F$78*$J$81,1)</f>
        <v>280.6</v>
      </c>
      <c r="K14" s="67">
        <v>8030.974</v>
      </c>
      <c r="L14" s="70">
        <f aca="true" t="shared" si="3" ref="L14:L77">(K14/I14)/($K$79/$I$79)</f>
        <v>0.53145700000145</v>
      </c>
      <c r="M14" s="70">
        <f aca="true" t="shared" si="4" ref="M14:M77">1+(1-L14)</f>
        <v>1.46854299999855</v>
      </c>
      <c r="N14" s="67">
        <f aca="true" t="shared" si="5" ref="N14:N74">ROUND(M14/$M$81*$P$81,1)</f>
        <v>623.1</v>
      </c>
      <c r="O14" s="70">
        <f aca="true" t="shared" si="6" ref="O14:O34">1+(1-L14)</f>
        <v>1.46854299999855</v>
      </c>
      <c r="P14" s="67">
        <f aca="true" t="shared" si="7" ref="P14:P74">ROUND(O14/$O$81*$P$81,1)</f>
        <v>614.7</v>
      </c>
      <c r="Q14" s="67">
        <f aca="true" t="shared" si="8" ref="Q14:Q74">ROUND(I14/$I$79*$Q$81,1)</f>
        <v>54.6</v>
      </c>
      <c r="R14" s="71">
        <f aca="true" t="shared" si="9" ref="R14:R76">Q14+P14+J14</f>
        <v>949.9000000000001</v>
      </c>
      <c r="S14" s="41"/>
    </row>
    <row r="15" spans="1:19" ht="50.25" customHeight="1">
      <c r="A15" s="45" t="s">
        <v>10</v>
      </c>
      <c r="B15" s="46" t="s">
        <v>44</v>
      </c>
      <c r="C15" s="46" t="s">
        <v>95</v>
      </c>
      <c r="D15" s="67">
        <v>571</v>
      </c>
      <c r="E15" s="67"/>
      <c r="F15" s="67">
        <f t="shared" si="0"/>
        <v>571</v>
      </c>
      <c r="G15" s="68">
        <v>4178</v>
      </c>
      <c r="H15" s="68">
        <v>3</v>
      </c>
      <c r="I15" s="69">
        <f t="shared" si="1"/>
        <v>4181</v>
      </c>
      <c r="J15" s="67">
        <f t="shared" si="2"/>
        <v>154.9</v>
      </c>
      <c r="K15" s="67">
        <v>3027.95</v>
      </c>
      <c r="L15" s="70">
        <f t="shared" si="3"/>
        <v>0.33720520874292437</v>
      </c>
      <c r="M15" s="70">
        <f t="shared" si="4"/>
        <v>1.6627947912570757</v>
      </c>
      <c r="N15" s="67">
        <f t="shared" si="5"/>
        <v>705.5</v>
      </c>
      <c r="O15" s="70">
        <f t="shared" si="6"/>
        <v>1.6627947912570757</v>
      </c>
      <c r="P15" s="67">
        <f t="shared" si="7"/>
        <v>696</v>
      </c>
      <c r="Q15" s="67">
        <f t="shared" si="8"/>
        <v>32.4</v>
      </c>
      <c r="R15" s="71">
        <f t="shared" si="9"/>
        <v>883.3</v>
      </c>
      <c r="S15" s="41"/>
    </row>
    <row r="16" spans="1:19" ht="47.25" customHeight="1">
      <c r="A16" s="45" t="s">
        <v>11</v>
      </c>
      <c r="B16" s="46" t="s">
        <v>45</v>
      </c>
      <c r="C16" s="46" t="s">
        <v>45</v>
      </c>
      <c r="D16" s="67">
        <v>1644</v>
      </c>
      <c r="E16" s="67"/>
      <c r="F16" s="67">
        <f t="shared" si="0"/>
        <v>1644</v>
      </c>
      <c r="G16" s="68">
        <v>10514</v>
      </c>
      <c r="H16" s="68">
        <v>21</v>
      </c>
      <c r="I16" s="69">
        <f t="shared" si="1"/>
        <v>10535</v>
      </c>
      <c r="J16" s="67">
        <f t="shared" si="2"/>
        <v>446.1</v>
      </c>
      <c r="K16" s="67">
        <v>27696.212</v>
      </c>
      <c r="L16" s="70">
        <f t="shared" si="3"/>
        <v>1.2240850038122422</v>
      </c>
      <c r="M16" s="70">
        <f t="shared" si="4"/>
        <v>0.7759149961877578</v>
      </c>
      <c r="N16" s="67">
        <f t="shared" si="5"/>
        <v>329.2</v>
      </c>
      <c r="O16" s="70">
        <f t="shared" si="6"/>
        <v>0.7759149961877578</v>
      </c>
      <c r="P16" s="67">
        <f t="shared" si="7"/>
        <v>324.8</v>
      </c>
      <c r="Q16" s="67">
        <f t="shared" si="8"/>
        <v>81.7</v>
      </c>
      <c r="R16" s="71">
        <f t="shared" si="9"/>
        <v>852.6</v>
      </c>
      <c r="S16" s="41"/>
    </row>
    <row r="17" spans="1:19" ht="46.5" customHeight="1">
      <c r="A17" s="45" t="s">
        <v>12</v>
      </c>
      <c r="B17" s="46" t="s">
        <v>46</v>
      </c>
      <c r="C17" s="46" t="s">
        <v>46</v>
      </c>
      <c r="D17" s="67">
        <v>1224</v>
      </c>
      <c r="E17" s="67"/>
      <c r="F17" s="67">
        <f t="shared" si="0"/>
        <v>1224</v>
      </c>
      <c r="G17" s="68">
        <v>6200</v>
      </c>
      <c r="H17" s="68">
        <v>6</v>
      </c>
      <c r="I17" s="69">
        <f t="shared" si="1"/>
        <v>6206</v>
      </c>
      <c r="J17" s="67">
        <f t="shared" si="2"/>
        <v>332.1</v>
      </c>
      <c r="K17" s="67">
        <v>6183.267</v>
      </c>
      <c r="L17" s="70">
        <f t="shared" si="3"/>
        <v>0.46390811707667967</v>
      </c>
      <c r="M17" s="70">
        <f t="shared" si="4"/>
        <v>1.5360918829233203</v>
      </c>
      <c r="N17" s="67">
        <f t="shared" si="5"/>
        <v>651.7</v>
      </c>
      <c r="O17" s="70">
        <f t="shared" si="6"/>
        <v>1.5360918829233203</v>
      </c>
      <c r="P17" s="67">
        <f t="shared" si="7"/>
        <v>643</v>
      </c>
      <c r="Q17" s="67">
        <f t="shared" si="8"/>
        <v>48.1</v>
      </c>
      <c r="R17" s="71">
        <f t="shared" si="9"/>
        <v>1023.2</v>
      </c>
      <c r="S17" s="41"/>
    </row>
    <row r="18" spans="1:19" ht="46.5" customHeight="1">
      <c r="A18" s="45" t="s">
        <v>13</v>
      </c>
      <c r="B18" s="46" t="s">
        <v>47</v>
      </c>
      <c r="C18" s="46" t="s">
        <v>96</v>
      </c>
      <c r="D18" s="67">
        <v>341</v>
      </c>
      <c r="E18" s="67"/>
      <c r="F18" s="67">
        <f t="shared" si="0"/>
        <v>341</v>
      </c>
      <c r="G18" s="68">
        <v>1849</v>
      </c>
      <c r="H18" s="68">
        <v>5</v>
      </c>
      <c r="I18" s="69">
        <f t="shared" si="1"/>
        <v>1854</v>
      </c>
      <c r="J18" s="67">
        <f t="shared" si="2"/>
        <v>92.5</v>
      </c>
      <c r="K18" s="67">
        <v>3232.276</v>
      </c>
      <c r="L18" s="70">
        <f t="shared" si="3"/>
        <v>0.8117540242300509</v>
      </c>
      <c r="M18" s="70">
        <f t="shared" si="4"/>
        <v>1.188245975769949</v>
      </c>
      <c r="N18" s="67">
        <f t="shared" si="5"/>
        <v>504.2</v>
      </c>
      <c r="O18" s="70">
        <f t="shared" si="6"/>
        <v>1.188245975769949</v>
      </c>
      <c r="P18" s="67">
        <f t="shared" si="7"/>
        <v>497.4</v>
      </c>
      <c r="Q18" s="67">
        <f t="shared" si="8"/>
        <v>14.4</v>
      </c>
      <c r="R18" s="71">
        <f t="shared" si="9"/>
        <v>604.3</v>
      </c>
      <c r="S18" s="41"/>
    </row>
    <row r="19" spans="1:19" ht="45.75" customHeight="1">
      <c r="A19" s="45" t="s">
        <v>14</v>
      </c>
      <c r="B19" s="46" t="s">
        <v>48</v>
      </c>
      <c r="C19" s="46" t="s">
        <v>97</v>
      </c>
      <c r="D19" s="67">
        <v>2283</v>
      </c>
      <c r="E19" s="67"/>
      <c r="F19" s="67">
        <f t="shared" si="0"/>
        <v>2283</v>
      </c>
      <c r="G19" s="68">
        <v>18753</v>
      </c>
      <c r="H19" s="68">
        <v>19</v>
      </c>
      <c r="I19" s="69">
        <f t="shared" si="1"/>
        <v>18772</v>
      </c>
      <c r="J19" s="67">
        <f t="shared" si="2"/>
        <v>619.5</v>
      </c>
      <c r="K19" s="67">
        <v>37141.236</v>
      </c>
      <c r="L19" s="70">
        <f t="shared" si="3"/>
        <v>0.9212373752347691</v>
      </c>
      <c r="M19" s="70">
        <f t="shared" si="4"/>
        <v>1.0787626247652309</v>
      </c>
      <c r="N19" s="67">
        <f t="shared" si="5"/>
        <v>457.7</v>
      </c>
      <c r="O19" s="70">
        <f t="shared" si="6"/>
        <v>1.0787626247652309</v>
      </c>
      <c r="P19" s="67">
        <f t="shared" si="7"/>
        <v>451.6</v>
      </c>
      <c r="Q19" s="67">
        <f t="shared" si="8"/>
        <v>145.6</v>
      </c>
      <c r="R19" s="71">
        <f t="shared" si="9"/>
        <v>1216.7</v>
      </c>
      <c r="S19" s="41"/>
    </row>
    <row r="20" spans="1:19" ht="46.5" customHeight="1">
      <c r="A20" s="45" t="s">
        <v>15</v>
      </c>
      <c r="B20" s="46" t="s">
        <v>49</v>
      </c>
      <c r="C20" s="46" t="s">
        <v>49</v>
      </c>
      <c r="D20" s="67">
        <v>1234</v>
      </c>
      <c r="E20" s="67"/>
      <c r="F20" s="67">
        <f t="shared" si="0"/>
        <v>1234</v>
      </c>
      <c r="G20" s="68">
        <v>9062</v>
      </c>
      <c r="H20" s="68">
        <v>33</v>
      </c>
      <c r="I20" s="69">
        <f t="shared" si="1"/>
        <v>9095</v>
      </c>
      <c r="J20" s="67">
        <f t="shared" si="2"/>
        <v>334.9</v>
      </c>
      <c r="K20" s="67">
        <v>21586.791999999998</v>
      </c>
      <c r="L20" s="70">
        <f t="shared" si="3"/>
        <v>1.1051243446810732</v>
      </c>
      <c r="M20" s="70">
        <f t="shared" si="4"/>
        <v>0.8948756553189268</v>
      </c>
      <c r="N20" s="67">
        <f t="shared" si="5"/>
        <v>379.7</v>
      </c>
      <c r="O20" s="70">
        <f t="shared" si="6"/>
        <v>0.8948756553189268</v>
      </c>
      <c r="P20" s="67">
        <f t="shared" si="7"/>
        <v>374.6</v>
      </c>
      <c r="Q20" s="67">
        <f t="shared" si="8"/>
        <v>70.5</v>
      </c>
      <c r="R20" s="71">
        <f t="shared" si="9"/>
        <v>780</v>
      </c>
      <c r="S20" s="41"/>
    </row>
    <row r="21" spans="1:19" ht="45.75" customHeight="1">
      <c r="A21" s="45" t="s">
        <v>16</v>
      </c>
      <c r="B21" s="46" t="s">
        <v>50</v>
      </c>
      <c r="C21" s="46" t="s">
        <v>98</v>
      </c>
      <c r="D21" s="67">
        <v>607</v>
      </c>
      <c r="E21" s="67"/>
      <c r="F21" s="67">
        <f t="shared" si="0"/>
        <v>607</v>
      </c>
      <c r="G21" s="68">
        <v>5581</v>
      </c>
      <c r="H21" s="68">
        <v>11</v>
      </c>
      <c r="I21" s="69">
        <f t="shared" si="1"/>
        <v>5592</v>
      </c>
      <c r="J21" s="67">
        <f t="shared" si="2"/>
        <v>164.7</v>
      </c>
      <c r="K21" s="67">
        <v>5665.432999999999</v>
      </c>
      <c r="L21" s="70">
        <f t="shared" si="3"/>
        <v>0.4717280354354488</v>
      </c>
      <c r="M21" s="70">
        <f t="shared" si="4"/>
        <v>1.5282719645645513</v>
      </c>
      <c r="N21" s="67">
        <f t="shared" si="5"/>
        <v>648.4</v>
      </c>
      <c r="O21" s="70">
        <f t="shared" si="6"/>
        <v>1.5282719645645513</v>
      </c>
      <c r="P21" s="67">
        <f t="shared" si="7"/>
        <v>639.7</v>
      </c>
      <c r="Q21" s="67">
        <f t="shared" si="8"/>
        <v>43.4</v>
      </c>
      <c r="R21" s="71">
        <f t="shared" si="9"/>
        <v>847.8</v>
      </c>
      <c r="S21" s="41"/>
    </row>
    <row r="22" spans="1:19" ht="47.25" customHeight="1">
      <c r="A22" s="45" t="s">
        <v>17</v>
      </c>
      <c r="B22" s="46" t="s">
        <v>51</v>
      </c>
      <c r="C22" s="46" t="s">
        <v>99</v>
      </c>
      <c r="D22" s="67">
        <v>699</v>
      </c>
      <c r="E22" s="67"/>
      <c r="F22" s="67">
        <f t="shared" si="0"/>
        <v>699</v>
      </c>
      <c r="G22" s="68">
        <v>6840</v>
      </c>
      <c r="H22" s="68">
        <v>5</v>
      </c>
      <c r="I22" s="69">
        <f t="shared" si="1"/>
        <v>6845</v>
      </c>
      <c r="J22" s="67">
        <f t="shared" si="2"/>
        <v>189.7</v>
      </c>
      <c r="K22" s="67">
        <v>6700.75</v>
      </c>
      <c r="L22" s="70">
        <f t="shared" si="3"/>
        <v>0.45580145282614104</v>
      </c>
      <c r="M22" s="70">
        <f t="shared" si="4"/>
        <v>1.5441985471738588</v>
      </c>
      <c r="N22" s="67">
        <f t="shared" si="5"/>
        <v>655.2</v>
      </c>
      <c r="O22" s="70">
        <f t="shared" si="6"/>
        <v>1.5441985471738588</v>
      </c>
      <c r="P22" s="67">
        <f t="shared" si="7"/>
        <v>646.4</v>
      </c>
      <c r="Q22" s="67">
        <f t="shared" si="8"/>
        <v>53.1</v>
      </c>
      <c r="R22" s="71">
        <f t="shared" si="9"/>
        <v>889.2</v>
      </c>
      <c r="S22" s="41"/>
    </row>
    <row r="23" spans="1:19" ht="44.25" customHeight="1">
      <c r="A23" s="45" t="s">
        <v>18</v>
      </c>
      <c r="B23" s="46" t="s">
        <v>52</v>
      </c>
      <c r="C23" s="46" t="s">
        <v>100</v>
      </c>
      <c r="D23" s="67">
        <v>747</v>
      </c>
      <c r="E23" s="67"/>
      <c r="F23" s="67">
        <f t="shared" si="0"/>
        <v>747</v>
      </c>
      <c r="G23" s="68">
        <v>5932</v>
      </c>
      <c r="H23" s="68">
        <v>5</v>
      </c>
      <c r="I23" s="69">
        <f t="shared" si="1"/>
        <v>5937</v>
      </c>
      <c r="J23" s="67">
        <f t="shared" si="2"/>
        <v>202.7</v>
      </c>
      <c r="K23" s="67">
        <v>4019.817</v>
      </c>
      <c r="L23" s="70">
        <f t="shared" si="3"/>
        <v>0.31525717252654895</v>
      </c>
      <c r="M23" s="70">
        <f t="shared" si="4"/>
        <v>1.684742827473451</v>
      </c>
      <c r="N23" s="67">
        <f t="shared" si="5"/>
        <v>714.8</v>
      </c>
      <c r="O23" s="70">
        <f t="shared" si="6"/>
        <v>1.684742827473451</v>
      </c>
      <c r="P23" s="67">
        <f t="shared" si="7"/>
        <v>705.2</v>
      </c>
      <c r="Q23" s="67">
        <f t="shared" si="8"/>
        <v>46</v>
      </c>
      <c r="R23" s="71">
        <f t="shared" si="9"/>
        <v>953.9000000000001</v>
      </c>
      <c r="S23" s="41"/>
    </row>
    <row r="24" spans="1:19" ht="44.25" customHeight="1">
      <c r="A24" s="45" t="s">
        <v>19</v>
      </c>
      <c r="B24" s="46" t="s">
        <v>53</v>
      </c>
      <c r="C24" s="46" t="s">
        <v>101</v>
      </c>
      <c r="D24" s="67">
        <v>956</v>
      </c>
      <c r="E24" s="67"/>
      <c r="F24" s="67">
        <f t="shared" si="0"/>
        <v>956</v>
      </c>
      <c r="G24" s="68">
        <v>7524</v>
      </c>
      <c r="H24" s="68">
        <v>12</v>
      </c>
      <c r="I24" s="69">
        <f t="shared" si="1"/>
        <v>7536</v>
      </c>
      <c r="J24" s="67">
        <f t="shared" si="2"/>
        <v>259.4</v>
      </c>
      <c r="K24" s="67">
        <v>17133.297</v>
      </c>
      <c r="L24" s="70">
        <f t="shared" si="3"/>
        <v>1.0585851468948118</v>
      </c>
      <c r="M24" s="70">
        <f t="shared" si="4"/>
        <v>0.9414148531051882</v>
      </c>
      <c r="N24" s="67">
        <f t="shared" si="5"/>
        <v>399.4</v>
      </c>
      <c r="O24" s="70">
        <f t="shared" si="6"/>
        <v>0.9414148531051882</v>
      </c>
      <c r="P24" s="67">
        <f t="shared" si="7"/>
        <v>394.1</v>
      </c>
      <c r="Q24" s="67">
        <f t="shared" si="8"/>
        <v>58.4</v>
      </c>
      <c r="R24" s="71">
        <f t="shared" si="9"/>
        <v>711.9</v>
      </c>
      <c r="S24" s="41"/>
    </row>
    <row r="25" spans="1:19" ht="46.5" customHeight="1">
      <c r="A25" s="45" t="s">
        <v>20</v>
      </c>
      <c r="B25" s="46" t="s">
        <v>54</v>
      </c>
      <c r="C25" s="46" t="s">
        <v>102</v>
      </c>
      <c r="D25" s="67">
        <v>664</v>
      </c>
      <c r="E25" s="67"/>
      <c r="F25" s="67">
        <f t="shared" si="0"/>
        <v>664</v>
      </c>
      <c r="G25" s="68">
        <v>5727</v>
      </c>
      <c r="H25" s="68">
        <v>5</v>
      </c>
      <c r="I25" s="69">
        <f t="shared" si="1"/>
        <v>5732</v>
      </c>
      <c r="J25" s="67">
        <f t="shared" si="2"/>
        <v>180.2</v>
      </c>
      <c r="K25" s="67">
        <v>5863.070000000001</v>
      </c>
      <c r="L25" s="70">
        <f t="shared" si="3"/>
        <v>0.47626058397412074</v>
      </c>
      <c r="M25" s="70">
        <f t="shared" si="4"/>
        <v>1.5237394160258793</v>
      </c>
      <c r="N25" s="67">
        <f t="shared" si="5"/>
        <v>646.5</v>
      </c>
      <c r="O25" s="70">
        <f t="shared" si="6"/>
        <v>1.5237394160258793</v>
      </c>
      <c r="P25" s="67">
        <f t="shared" si="7"/>
        <v>637.8</v>
      </c>
      <c r="Q25" s="67">
        <f t="shared" si="8"/>
        <v>44.5</v>
      </c>
      <c r="R25" s="71">
        <f t="shared" si="9"/>
        <v>862.5</v>
      </c>
      <c r="S25" s="41"/>
    </row>
    <row r="26" spans="1:19" ht="45" customHeight="1">
      <c r="A26" s="45" t="s">
        <v>21</v>
      </c>
      <c r="B26" s="46" t="s">
        <v>55</v>
      </c>
      <c r="C26" s="46" t="s">
        <v>103</v>
      </c>
      <c r="D26" s="67">
        <v>682</v>
      </c>
      <c r="E26" s="67"/>
      <c r="F26" s="67">
        <f t="shared" si="0"/>
        <v>682</v>
      </c>
      <c r="G26" s="68">
        <v>7332</v>
      </c>
      <c r="H26" s="68">
        <v>18</v>
      </c>
      <c r="I26" s="69">
        <f t="shared" si="1"/>
        <v>7350</v>
      </c>
      <c r="J26" s="67">
        <f t="shared" si="2"/>
        <v>185.1</v>
      </c>
      <c r="K26" s="67">
        <v>8728.722</v>
      </c>
      <c r="L26" s="70">
        <f t="shared" si="3"/>
        <v>0.5529540781169859</v>
      </c>
      <c r="M26" s="70">
        <f t="shared" si="4"/>
        <v>1.447045921883014</v>
      </c>
      <c r="N26" s="67">
        <f t="shared" si="5"/>
        <v>614</v>
      </c>
      <c r="O26" s="70">
        <f t="shared" si="6"/>
        <v>1.447045921883014</v>
      </c>
      <c r="P26" s="67">
        <f t="shared" si="7"/>
        <v>605.7</v>
      </c>
      <c r="Q26" s="67">
        <f t="shared" si="8"/>
        <v>57</v>
      </c>
      <c r="R26" s="71">
        <f t="shared" si="9"/>
        <v>847.8000000000001</v>
      </c>
      <c r="S26" s="41"/>
    </row>
    <row r="27" spans="1:19" ht="43.5" customHeight="1">
      <c r="A27" s="45" t="s">
        <v>22</v>
      </c>
      <c r="B27" s="46" t="s">
        <v>56</v>
      </c>
      <c r="C27" s="46" t="s">
        <v>104</v>
      </c>
      <c r="D27" s="67">
        <v>2433</v>
      </c>
      <c r="E27" s="67"/>
      <c r="F27" s="67">
        <f t="shared" si="0"/>
        <v>2433</v>
      </c>
      <c r="G27" s="68">
        <v>19862</v>
      </c>
      <c r="H27" s="68">
        <v>37</v>
      </c>
      <c r="I27" s="69">
        <f t="shared" si="1"/>
        <v>19899</v>
      </c>
      <c r="J27" s="67">
        <f t="shared" si="2"/>
        <v>660.2</v>
      </c>
      <c r="K27" s="67">
        <v>30596.25</v>
      </c>
      <c r="L27" s="70">
        <f t="shared" si="3"/>
        <v>0.715917026704087</v>
      </c>
      <c r="M27" s="70">
        <f t="shared" si="4"/>
        <v>1.284082973295913</v>
      </c>
      <c r="N27" s="67">
        <f t="shared" si="5"/>
        <v>544.8</v>
      </c>
      <c r="O27" s="70">
        <f t="shared" si="6"/>
        <v>1.284082973295913</v>
      </c>
      <c r="P27" s="67">
        <f t="shared" si="7"/>
        <v>537.5</v>
      </c>
      <c r="Q27" s="67">
        <f t="shared" si="8"/>
        <v>154.3</v>
      </c>
      <c r="R27" s="71">
        <f t="shared" si="9"/>
        <v>1352</v>
      </c>
      <c r="S27" s="41"/>
    </row>
    <row r="28" spans="1:19" ht="40.5" customHeight="1">
      <c r="A28" s="45" t="s">
        <v>23</v>
      </c>
      <c r="B28" s="46" t="s">
        <v>57</v>
      </c>
      <c r="C28" s="46" t="s">
        <v>105</v>
      </c>
      <c r="D28" s="67">
        <v>415</v>
      </c>
      <c r="E28" s="67"/>
      <c r="F28" s="67">
        <f t="shared" si="0"/>
        <v>415</v>
      </c>
      <c r="G28" s="68">
        <v>3197</v>
      </c>
      <c r="H28" s="68">
        <v>1</v>
      </c>
      <c r="I28" s="69">
        <f t="shared" si="1"/>
        <v>3198</v>
      </c>
      <c r="J28" s="67">
        <f t="shared" si="2"/>
        <v>112.6</v>
      </c>
      <c r="K28" s="67">
        <v>2873.365</v>
      </c>
      <c r="L28" s="70">
        <f t="shared" si="3"/>
        <v>0.4183483693634131</v>
      </c>
      <c r="M28" s="70">
        <f t="shared" si="4"/>
        <v>1.5816516306365869</v>
      </c>
      <c r="N28" s="67">
        <f t="shared" si="5"/>
        <v>671.1</v>
      </c>
      <c r="O28" s="70">
        <f t="shared" si="6"/>
        <v>1.5816516306365869</v>
      </c>
      <c r="P28" s="67">
        <f t="shared" si="7"/>
        <v>662.1</v>
      </c>
      <c r="Q28" s="67">
        <f t="shared" si="8"/>
        <v>24.8</v>
      </c>
      <c r="R28" s="71">
        <f t="shared" si="9"/>
        <v>799.5</v>
      </c>
      <c r="S28" s="41"/>
    </row>
    <row r="29" spans="1:19" ht="43.5" customHeight="1">
      <c r="A29" s="45" t="s">
        <v>24</v>
      </c>
      <c r="B29" s="46" t="s">
        <v>58</v>
      </c>
      <c r="C29" s="46" t="s">
        <v>58</v>
      </c>
      <c r="D29" s="67">
        <v>880</v>
      </c>
      <c r="E29" s="67"/>
      <c r="F29" s="67">
        <f t="shared" si="0"/>
        <v>880</v>
      </c>
      <c r="G29" s="68">
        <v>6292</v>
      </c>
      <c r="H29" s="68">
        <v>8</v>
      </c>
      <c r="I29" s="69">
        <f t="shared" si="1"/>
        <v>6300</v>
      </c>
      <c r="J29" s="67">
        <f t="shared" si="2"/>
        <v>238.8</v>
      </c>
      <c r="K29" s="67">
        <v>4567.263</v>
      </c>
      <c r="L29" s="70">
        <f t="shared" si="3"/>
        <v>0.33755241053195295</v>
      </c>
      <c r="M29" s="70">
        <f t="shared" si="4"/>
        <v>1.662447589468047</v>
      </c>
      <c r="N29" s="67">
        <f t="shared" si="5"/>
        <v>705.4</v>
      </c>
      <c r="O29" s="70">
        <f t="shared" si="6"/>
        <v>1.662447589468047</v>
      </c>
      <c r="P29" s="67">
        <f t="shared" si="7"/>
        <v>695.9</v>
      </c>
      <c r="Q29" s="67">
        <f t="shared" si="8"/>
        <v>48.9</v>
      </c>
      <c r="R29" s="71">
        <f t="shared" si="9"/>
        <v>983.5999999999999</v>
      </c>
      <c r="S29" s="41"/>
    </row>
    <row r="30" spans="1:19" ht="46.5" customHeight="1">
      <c r="A30" s="45" t="s">
        <v>25</v>
      </c>
      <c r="B30" s="46" t="s">
        <v>59</v>
      </c>
      <c r="C30" s="46" t="s">
        <v>59</v>
      </c>
      <c r="D30" s="67">
        <v>986</v>
      </c>
      <c r="E30" s="67"/>
      <c r="F30" s="67">
        <f t="shared" si="0"/>
        <v>986</v>
      </c>
      <c r="G30" s="68">
        <v>5851</v>
      </c>
      <c r="H30" s="68">
        <v>8</v>
      </c>
      <c r="I30" s="69">
        <f t="shared" si="1"/>
        <v>5859</v>
      </c>
      <c r="J30" s="67">
        <f t="shared" si="2"/>
        <v>267.6</v>
      </c>
      <c r="K30" s="67">
        <v>8787.722</v>
      </c>
      <c r="L30" s="70">
        <f t="shared" si="3"/>
        <v>0.6983587100135833</v>
      </c>
      <c r="M30" s="70">
        <f t="shared" si="4"/>
        <v>1.3016412899864167</v>
      </c>
      <c r="N30" s="67">
        <f t="shared" si="5"/>
        <v>552.3</v>
      </c>
      <c r="O30" s="70">
        <f t="shared" si="6"/>
        <v>1.3016412899864167</v>
      </c>
      <c r="P30" s="67">
        <f t="shared" si="7"/>
        <v>544.8</v>
      </c>
      <c r="Q30" s="67">
        <f t="shared" si="8"/>
        <v>45.4</v>
      </c>
      <c r="R30" s="71">
        <f t="shared" si="9"/>
        <v>857.8</v>
      </c>
      <c r="S30" s="41"/>
    </row>
    <row r="31" spans="1:19" ht="51" customHeight="1">
      <c r="A31" s="45" t="s">
        <v>26</v>
      </c>
      <c r="B31" s="46" t="s">
        <v>60</v>
      </c>
      <c r="C31" s="46" t="s">
        <v>106</v>
      </c>
      <c r="D31" s="67">
        <v>615</v>
      </c>
      <c r="E31" s="67"/>
      <c r="F31" s="67">
        <f t="shared" si="0"/>
        <v>615</v>
      </c>
      <c r="G31" s="68">
        <v>5490</v>
      </c>
      <c r="H31" s="68">
        <v>19</v>
      </c>
      <c r="I31" s="69">
        <f t="shared" si="1"/>
        <v>5509</v>
      </c>
      <c r="J31" s="67">
        <f t="shared" si="2"/>
        <v>166.9</v>
      </c>
      <c r="K31" s="67">
        <v>4600.162</v>
      </c>
      <c r="L31" s="70">
        <f t="shared" si="3"/>
        <v>0.3887998568150714</v>
      </c>
      <c r="M31" s="70">
        <f t="shared" si="4"/>
        <v>1.6112001431849285</v>
      </c>
      <c r="N31" s="67">
        <f t="shared" si="5"/>
        <v>683.6</v>
      </c>
      <c r="O31" s="70">
        <f t="shared" si="6"/>
        <v>1.6112001431849285</v>
      </c>
      <c r="P31" s="67">
        <f t="shared" si="7"/>
        <v>674.4</v>
      </c>
      <c r="Q31" s="67">
        <f t="shared" si="8"/>
        <v>42.7</v>
      </c>
      <c r="R31" s="71">
        <f t="shared" si="9"/>
        <v>884</v>
      </c>
      <c r="S31" s="41"/>
    </row>
    <row r="32" spans="1:19" ht="45.75" customHeight="1">
      <c r="A32" s="45" t="s">
        <v>27</v>
      </c>
      <c r="B32" s="46" t="s">
        <v>61</v>
      </c>
      <c r="C32" s="46" t="s">
        <v>107</v>
      </c>
      <c r="D32" s="67">
        <v>743</v>
      </c>
      <c r="E32" s="67"/>
      <c r="F32" s="67">
        <f t="shared" si="0"/>
        <v>743</v>
      </c>
      <c r="G32" s="68">
        <v>8014</v>
      </c>
      <c r="H32" s="68">
        <v>3</v>
      </c>
      <c r="I32" s="69">
        <f t="shared" si="1"/>
        <v>8017</v>
      </c>
      <c r="J32" s="67">
        <f t="shared" si="2"/>
        <v>201.6</v>
      </c>
      <c r="K32" s="67">
        <v>9499.184000000001</v>
      </c>
      <c r="L32" s="70">
        <f t="shared" si="3"/>
        <v>0.5516964114116343</v>
      </c>
      <c r="M32" s="70">
        <f t="shared" si="4"/>
        <v>1.4483035885883657</v>
      </c>
      <c r="N32" s="67">
        <f t="shared" si="5"/>
        <v>614.5</v>
      </c>
      <c r="O32" s="70">
        <f t="shared" si="6"/>
        <v>1.4483035885883657</v>
      </c>
      <c r="P32" s="67">
        <f t="shared" si="7"/>
        <v>606.2</v>
      </c>
      <c r="Q32" s="67">
        <f t="shared" si="8"/>
        <v>62.2</v>
      </c>
      <c r="R32" s="71">
        <f t="shared" si="9"/>
        <v>870.0000000000001</v>
      </c>
      <c r="S32" s="41"/>
    </row>
    <row r="33" spans="1:19" ht="45" customHeight="1">
      <c r="A33" s="45" t="s">
        <v>28</v>
      </c>
      <c r="B33" s="46" t="s">
        <v>62</v>
      </c>
      <c r="C33" s="46" t="s">
        <v>108</v>
      </c>
      <c r="D33" s="67">
        <v>330</v>
      </c>
      <c r="E33" s="67"/>
      <c r="F33" s="67">
        <f t="shared" si="0"/>
        <v>330</v>
      </c>
      <c r="G33" s="68">
        <v>2721</v>
      </c>
      <c r="H33" s="68">
        <v>2</v>
      </c>
      <c r="I33" s="69">
        <f t="shared" si="1"/>
        <v>2723</v>
      </c>
      <c r="J33" s="67">
        <f t="shared" si="2"/>
        <v>89.5</v>
      </c>
      <c r="K33" s="67">
        <v>5626.787</v>
      </c>
      <c r="L33" s="70">
        <f t="shared" si="3"/>
        <v>0.9621406784524276</v>
      </c>
      <c r="M33" s="70">
        <f t="shared" si="4"/>
        <v>1.0378593215475724</v>
      </c>
      <c r="N33" s="67">
        <f t="shared" si="5"/>
        <v>440.4</v>
      </c>
      <c r="O33" s="70">
        <f t="shared" si="6"/>
        <v>1.0378593215475724</v>
      </c>
      <c r="P33" s="67">
        <f t="shared" si="7"/>
        <v>434.4</v>
      </c>
      <c r="Q33" s="67">
        <f t="shared" si="8"/>
        <v>21.1</v>
      </c>
      <c r="R33" s="71">
        <f t="shared" si="9"/>
        <v>545</v>
      </c>
      <c r="S33" s="41"/>
    </row>
    <row r="34" spans="1:19" ht="48" customHeight="1">
      <c r="A34" s="45" t="s">
        <v>29</v>
      </c>
      <c r="B34" s="46" t="s">
        <v>63</v>
      </c>
      <c r="C34" s="46" t="s">
        <v>109</v>
      </c>
      <c r="D34" s="67">
        <v>1827</v>
      </c>
      <c r="E34" s="67"/>
      <c r="F34" s="67">
        <f t="shared" si="0"/>
        <v>1827</v>
      </c>
      <c r="G34" s="68">
        <v>13808</v>
      </c>
      <c r="H34" s="68">
        <v>22</v>
      </c>
      <c r="I34" s="69">
        <f t="shared" si="1"/>
        <v>13830</v>
      </c>
      <c r="J34" s="67">
        <f t="shared" si="2"/>
        <v>495.8</v>
      </c>
      <c r="K34" s="67">
        <v>58718.967000000004</v>
      </c>
      <c r="L34" s="70">
        <f t="shared" si="3"/>
        <v>1.9768875630600902</v>
      </c>
      <c r="M34" s="70">
        <f t="shared" si="4"/>
        <v>0.02311243693990983</v>
      </c>
      <c r="N34" s="67">
        <f t="shared" si="5"/>
        <v>9.8</v>
      </c>
      <c r="O34" s="70">
        <f t="shared" si="6"/>
        <v>0.02311243693990983</v>
      </c>
      <c r="P34" s="67">
        <f t="shared" si="7"/>
        <v>9.7</v>
      </c>
      <c r="Q34" s="67">
        <f t="shared" si="8"/>
        <v>107.3</v>
      </c>
      <c r="R34" s="71">
        <f t="shared" si="9"/>
        <v>612.8</v>
      </c>
      <c r="S34" s="41"/>
    </row>
    <row r="35" spans="1:19" ht="53.25" customHeight="1">
      <c r="A35" s="54">
        <v>17523000000</v>
      </c>
      <c r="B35" s="15"/>
      <c r="C35" s="46" t="s">
        <v>133</v>
      </c>
      <c r="D35" s="67">
        <v>2113</v>
      </c>
      <c r="E35" s="67"/>
      <c r="F35" s="67">
        <f t="shared" si="0"/>
        <v>2113</v>
      </c>
      <c r="G35" s="68">
        <v>11229</v>
      </c>
      <c r="H35" s="68">
        <v>21</v>
      </c>
      <c r="I35" s="69">
        <f t="shared" si="1"/>
        <v>11250</v>
      </c>
      <c r="J35" s="67">
        <f t="shared" si="2"/>
        <v>573.4</v>
      </c>
      <c r="K35" s="67">
        <v>11048.268</v>
      </c>
      <c r="L35" s="72">
        <f t="shared" si="3"/>
        <v>0.4572644311347303</v>
      </c>
      <c r="M35" s="72">
        <f t="shared" si="4"/>
        <v>1.5427355688652697</v>
      </c>
      <c r="N35" s="67">
        <f t="shared" si="5"/>
        <v>654.6</v>
      </c>
      <c r="O35" s="70">
        <f>1+(1-L35)</f>
        <v>1.5427355688652697</v>
      </c>
      <c r="P35" s="67">
        <f t="shared" si="7"/>
        <v>645.8</v>
      </c>
      <c r="Q35" s="67">
        <f t="shared" si="8"/>
        <v>87.2</v>
      </c>
      <c r="R35" s="71">
        <f t="shared" si="9"/>
        <v>1306.4</v>
      </c>
      <c r="S35" s="41"/>
    </row>
    <row r="36" spans="1:19" ht="45.75" customHeight="1">
      <c r="A36" s="54" t="s">
        <v>30</v>
      </c>
      <c r="B36" s="15"/>
      <c r="C36" s="46" t="s">
        <v>110</v>
      </c>
      <c r="D36" s="67">
        <v>1395</v>
      </c>
      <c r="E36" s="67"/>
      <c r="F36" s="67">
        <f t="shared" si="0"/>
        <v>1395</v>
      </c>
      <c r="G36" s="68">
        <v>12148</v>
      </c>
      <c r="H36" s="68">
        <v>18</v>
      </c>
      <c r="I36" s="69">
        <f t="shared" si="1"/>
        <v>12166</v>
      </c>
      <c r="J36" s="67">
        <f t="shared" si="2"/>
        <v>378.5</v>
      </c>
      <c r="K36" s="67">
        <v>17766.817</v>
      </c>
      <c r="L36" s="70">
        <f t="shared" si="3"/>
        <v>0.6799665669044098</v>
      </c>
      <c r="M36" s="70">
        <f t="shared" si="4"/>
        <v>1.32003343309559</v>
      </c>
      <c r="N36" s="67">
        <f t="shared" si="5"/>
        <v>560.1</v>
      </c>
      <c r="O36" s="70">
        <f aca="true" t="shared" si="10" ref="O36:O43">1+(1-L36)</f>
        <v>1.32003343309559</v>
      </c>
      <c r="P36" s="67">
        <f t="shared" si="7"/>
        <v>552.5</v>
      </c>
      <c r="Q36" s="67">
        <f t="shared" si="8"/>
        <v>94.4</v>
      </c>
      <c r="R36" s="71">
        <f t="shared" si="9"/>
        <v>1025.4</v>
      </c>
      <c r="S36" s="41"/>
    </row>
    <row r="37" spans="1:19" ht="43.5" customHeight="1">
      <c r="A37" s="54" t="s">
        <v>31</v>
      </c>
      <c r="B37" s="15"/>
      <c r="C37" s="46" t="s">
        <v>111</v>
      </c>
      <c r="D37" s="67">
        <v>807</v>
      </c>
      <c r="E37" s="67"/>
      <c r="F37" s="67">
        <f t="shared" si="0"/>
        <v>807</v>
      </c>
      <c r="G37" s="68">
        <v>5695</v>
      </c>
      <c r="H37" s="68">
        <v>11</v>
      </c>
      <c r="I37" s="69">
        <f t="shared" si="1"/>
        <v>5706</v>
      </c>
      <c r="J37" s="67">
        <f t="shared" si="2"/>
        <v>219</v>
      </c>
      <c r="K37" s="67">
        <v>10109.145</v>
      </c>
      <c r="L37" s="70">
        <f t="shared" si="3"/>
        <v>0.8249134811223772</v>
      </c>
      <c r="M37" s="70">
        <f t="shared" si="4"/>
        <v>1.175086518877623</v>
      </c>
      <c r="N37" s="67">
        <f t="shared" si="5"/>
        <v>498.6</v>
      </c>
      <c r="O37" s="70">
        <f t="shared" si="10"/>
        <v>1.175086518877623</v>
      </c>
      <c r="P37" s="67">
        <f t="shared" si="7"/>
        <v>491.9</v>
      </c>
      <c r="Q37" s="67">
        <f t="shared" si="8"/>
        <v>44.3</v>
      </c>
      <c r="R37" s="71">
        <f t="shared" si="9"/>
        <v>755.1999999999999</v>
      </c>
      <c r="S37" s="41"/>
    </row>
    <row r="38" spans="1:19" ht="43.5" customHeight="1">
      <c r="A38" s="54">
        <v>17526000000</v>
      </c>
      <c r="B38" s="15"/>
      <c r="C38" s="46" t="s">
        <v>112</v>
      </c>
      <c r="D38" s="67">
        <v>1416</v>
      </c>
      <c r="E38" s="67"/>
      <c r="F38" s="67">
        <f t="shared" si="0"/>
        <v>1416</v>
      </c>
      <c r="G38" s="68">
        <v>9769</v>
      </c>
      <c r="H38" s="68">
        <v>20</v>
      </c>
      <c r="I38" s="69">
        <f t="shared" si="1"/>
        <v>9789</v>
      </c>
      <c r="J38" s="67">
        <f t="shared" si="2"/>
        <v>384.2</v>
      </c>
      <c r="K38" s="67">
        <v>14110.149000000001</v>
      </c>
      <c r="L38" s="70">
        <f t="shared" si="3"/>
        <v>0.6711491026859365</v>
      </c>
      <c r="M38" s="70">
        <f t="shared" si="4"/>
        <v>1.3288508973140636</v>
      </c>
      <c r="N38" s="67">
        <f t="shared" si="5"/>
        <v>563.8</v>
      </c>
      <c r="O38" s="70">
        <f t="shared" si="10"/>
        <v>1.3288508973140636</v>
      </c>
      <c r="P38" s="67">
        <f t="shared" si="7"/>
        <v>556.2</v>
      </c>
      <c r="Q38" s="67">
        <f t="shared" si="8"/>
        <v>75.9</v>
      </c>
      <c r="R38" s="71">
        <f t="shared" si="9"/>
        <v>1016.3</v>
      </c>
      <c r="S38" s="41"/>
    </row>
    <row r="39" spans="1:19" ht="46.5" customHeight="1">
      <c r="A39" s="54">
        <v>17527000000</v>
      </c>
      <c r="B39" s="15"/>
      <c r="C39" s="46" t="s">
        <v>64</v>
      </c>
      <c r="D39" s="67">
        <v>1294</v>
      </c>
      <c r="E39" s="67"/>
      <c r="F39" s="67">
        <f t="shared" si="0"/>
        <v>1294</v>
      </c>
      <c r="G39" s="68">
        <v>10527</v>
      </c>
      <c r="H39" s="68">
        <v>17</v>
      </c>
      <c r="I39" s="69">
        <f t="shared" si="1"/>
        <v>10544</v>
      </c>
      <c r="J39" s="67">
        <f t="shared" si="2"/>
        <v>351.1</v>
      </c>
      <c r="K39" s="67">
        <v>11520.341</v>
      </c>
      <c r="L39" s="70">
        <f t="shared" si="3"/>
        <v>0.508728044626623</v>
      </c>
      <c r="M39" s="70">
        <f t="shared" si="4"/>
        <v>1.491271955373377</v>
      </c>
      <c r="N39" s="67">
        <f t="shared" si="5"/>
        <v>632.7</v>
      </c>
      <c r="O39" s="70">
        <f t="shared" si="10"/>
        <v>1.491271955373377</v>
      </c>
      <c r="P39" s="67">
        <f t="shared" si="7"/>
        <v>624.2</v>
      </c>
      <c r="Q39" s="67">
        <f t="shared" si="8"/>
        <v>81.8</v>
      </c>
      <c r="R39" s="71">
        <f t="shared" si="9"/>
        <v>1057.1</v>
      </c>
      <c r="S39" s="41"/>
    </row>
    <row r="40" spans="1:19" ht="45.75" customHeight="1">
      <c r="A40" s="54">
        <v>17528000000</v>
      </c>
      <c r="B40" s="15"/>
      <c r="C40" s="46" t="s">
        <v>113</v>
      </c>
      <c r="D40" s="67">
        <v>284</v>
      </c>
      <c r="E40" s="67"/>
      <c r="F40" s="67">
        <f t="shared" si="0"/>
        <v>284</v>
      </c>
      <c r="G40" s="68">
        <v>2877</v>
      </c>
      <c r="H40" s="68">
        <v>0</v>
      </c>
      <c r="I40" s="69">
        <f t="shared" si="1"/>
        <v>2877</v>
      </c>
      <c r="J40" s="67">
        <f t="shared" si="2"/>
        <v>77.1</v>
      </c>
      <c r="K40" s="67">
        <v>2375.793</v>
      </c>
      <c r="L40" s="70">
        <f t="shared" si="3"/>
        <v>0.38449834877385586</v>
      </c>
      <c r="M40" s="70">
        <f t="shared" si="4"/>
        <v>1.6155016512261442</v>
      </c>
      <c r="N40" s="67">
        <f t="shared" si="5"/>
        <v>685.4</v>
      </c>
      <c r="O40" s="70">
        <f t="shared" si="10"/>
        <v>1.6155016512261442</v>
      </c>
      <c r="P40" s="67">
        <f t="shared" si="7"/>
        <v>676.2</v>
      </c>
      <c r="Q40" s="67">
        <f t="shared" si="8"/>
        <v>22.3</v>
      </c>
      <c r="R40" s="71">
        <f t="shared" si="9"/>
        <v>775.6</v>
      </c>
      <c r="S40" s="41"/>
    </row>
    <row r="41" spans="1:19" ht="44.25" customHeight="1">
      <c r="A41" s="54">
        <v>17529000000</v>
      </c>
      <c r="B41" s="15"/>
      <c r="C41" s="46" t="s">
        <v>114</v>
      </c>
      <c r="D41" s="67">
        <v>564</v>
      </c>
      <c r="E41" s="67"/>
      <c r="F41" s="67">
        <f t="shared" si="0"/>
        <v>564</v>
      </c>
      <c r="G41" s="68">
        <v>5785</v>
      </c>
      <c r="H41" s="68">
        <v>12</v>
      </c>
      <c r="I41" s="69">
        <f t="shared" si="1"/>
        <v>5797</v>
      </c>
      <c r="J41" s="67">
        <f t="shared" si="2"/>
        <v>153</v>
      </c>
      <c r="K41" s="67">
        <v>7872.156</v>
      </c>
      <c r="L41" s="70">
        <f t="shared" si="3"/>
        <v>0.6322897389552018</v>
      </c>
      <c r="M41" s="70">
        <f t="shared" si="4"/>
        <v>1.3677102610447982</v>
      </c>
      <c r="N41" s="67">
        <f t="shared" si="5"/>
        <v>580.3</v>
      </c>
      <c r="O41" s="70">
        <f t="shared" si="10"/>
        <v>1.3677102610447982</v>
      </c>
      <c r="P41" s="67">
        <f t="shared" si="7"/>
        <v>572.5</v>
      </c>
      <c r="Q41" s="67">
        <f t="shared" si="8"/>
        <v>45</v>
      </c>
      <c r="R41" s="71">
        <f t="shared" si="9"/>
        <v>770.5</v>
      </c>
      <c r="S41" s="41"/>
    </row>
    <row r="42" spans="1:19" ht="45" customHeight="1">
      <c r="A42" s="54">
        <v>17530000000</v>
      </c>
      <c r="B42" s="15"/>
      <c r="C42" s="46" t="s">
        <v>115</v>
      </c>
      <c r="D42" s="67">
        <v>924</v>
      </c>
      <c r="E42" s="67"/>
      <c r="F42" s="67">
        <f t="shared" si="0"/>
        <v>924</v>
      </c>
      <c r="G42" s="68">
        <v>7418</v>
      </c>
      <c r="H42" s="68">
        <v>22</v>
      </c>
      <c r="I42" s="69">
        <f t="shared" si="1"/>
        <v>7440</v>
      </c>
      <c r="J42" s="67">
        <f t="shared" si="2"/>
        <v>250.7</v>
      </c>
      <c r="K42" s="67">
        <v>6579.78</v>
      </c>
      <c r="L42" s="70">
        <f t="shared" si="3"/>
        <v>0.4117789860633251</v>
      </c>
      <c r="M42" s="70">
        <f t="shared" si="4"/>
        <v>1.5882210139366748</v>
      </c>
      <c r="N42" s="67">
        <f t="shared" si="5"/>
        <v>673.9</v>
      </c>
      <c r="O42" s="70">
        <f t="shared" si="10"/>
        <v>1.5882210139366748</v>
      </c>
      <c r="P42" s="67">
        <f t="shared" si="7"/>
        <v>664.8</v>
      </c>
      <c r="Q42" s="67">
        <f t="shared" si="8"/>
        <v>57.7</v>
      </c>
      <c r="R42" s="71">
        <f t="shared" si="9"/>
        <v>973.2</v>
      </c>
      <c r="S42" s="41"/>
    </row>
    <row r="43" spans="1:19" ht="44.25" customHeight="1">
      <c r="A43" s="54">
        <v>17531000000</v>
      </c>
      <c r="B43" s="15"/>
      <c r="C43" s="46" t="s">
        <v>116</v>
      </c>
      <c r="D43" s="67">
        <v>2094</v>
      </c>
      <c r="E43" s="67"/>
      <c r="F43" s="67">
        <f t="shared" si="0"/>
        <v>2094</v>
      </c>
      <c r="G43" s="68">
        <v>6908</v>
      </c>
      <c r="H43" s="68">
        <v>10</v>
      </c>
      <c r="I43" s="69">
        <f t="shared" si="1"/>
        <v>6918</v>
      </c>
      <c r="J43" s="67">
        <f t="shared" si="2"/>
        <v>568.2</v>
      </c>
      <c r="K43" s="67">
        <v>4937.556</v>
      </c>
      <c r="L43" s="70">
        <f t="shared" si="3"/>
        <v>0.3323205662168898</v>
      </c>
      <c r="M43" s="70">
        <f t="shared" si="4"/>
        <v>1.6676794337831102</v>
      </c>
      <c r="N43" s="67">
        <f t="shared" si="5"/>
        <v>707.6</v>
      </c>
      <c r="O43" s="70">
        <f t="shared" si="10"/>
        <v>1.6676794337831102</v>
      </c>
      <c r="P43" s="67">
        <f t="shared" si="7"/>
        <v>698.1</v>
      </c>
      <c r="Q43" s="67">
        <f t="shared" si="8"/>
        <v>53.7</v>
      </c>
      <c r="R43" s="71">
        <f t="shared" si="9"/>
        <v>1320</v>
      </c>
      <c r="S43" s="41"/>
    </row>
    <row r="44" spans="1:19" ht="42.75" customHeight="1">
      <c r="A44" s="45">
        <v>17532000000</v>
      </c>
      <c r="B44" s="15"/>
      <c r="C44" s="55" t="s">
        <v>124</v>
      </c>
      <c r="D44" s="67">
        <v>8074</v>
      </c>
      <c r="E44" s="67"/>
      <c r="F44" s="67">
        <f t="shared" si="0"/>
        <v>8074</v>
      </c>
      <c r="G44" s="68">
        <v>52994</v>
      </c>
      <c r="H44" s="68">
        <v>80</v>
      </c>
      <c r="I44" s="69">
        <f t="shared" si="1"/>
        <v>53074</v>
      </c>
      <c r="J44" s="67">
        <f t="shared" si="2"/>
        <v>2191</v>
      </c>
      <c r="K44" s="67">
        <v>359339.13499999995</v>
      </c>
      <c r="L44" s="72">
        <f t="shared" si="3"/>
        <v>3.1524516941668455</v>
      </c>
      <c r="M44" s="72">
        <f t="shared" si="4"/>
        <v>-1.1524516941668455</v>
      </c>
      <c r="N44" s="67">
        <f t="shared" si="5"/>
        <v>-489</v>
      </c>
      <c r="O44" s="70"/>
      <c r="P44" s="67">
        <f t="shared" si="7"/>
        <v>0</v>
      </c>
      <c r="Q44" s="67">
        <f t="shared" si="8"/>
        <v>411.6</v>
      </c>
      <c r="R44" s="71">
        <f t="shared" si="9"/>
        <v>2602.6</v>
      </c>
      <c r="S44" s="41"/>
    </row>
    <row r="45" spans="1:19" ht="45.75" customHeight="1">
      <c r="A45" s="54">
        <v>17534000000</v>
      </c>
      <c r="B45" s="15"/>
      <c r="C45" s="46" t="s">
        <v>125</v>
      </c>
      <c r="D45" s="67">
        <v>4735</v>
      </c>
      <c r="E45" s="67"/>
      <c r="F45" s="67">
        <f t="shared" si="0"/>
        <v>4735</v>
      </c>
      <c r="G45" s="68">
        <v>43201</v>
      </c>
      <c r="H45" s="68">
        <v>93</v>
      </c>
      <c r="I45" s="69">
        <f t="shared" si="1"/>
        <v>43294</v>
      </c>
      <c r="J45" s="67">
        <f t="shared" si="2"/>
        <v>1284.9</v>
      </c>
      <c r="K45" s="67">
        <v>52449.638</v>
      </c>
      <c r="L45" s="70">
        <f t="shared" si="3"/>
        <v>0.5640797703378967</v>
      </c>
      <c r="M45" s="70">
        <f t="shared" si="4"/>
        <v>1.4359202296621034</v>
      </c>
      <c r="N45" s="67">
        <f t="shared" si="5"/>
        <v>609.2</v>
      </c>
      <c r="O45" s="70">
        <f>1+(1-L45)</f>
        <v>1.4359202296621034</v>
      </c>
      <c r="P45" s="67">
        <f t="shared" si="7"/>
        <v>601.1</v>
      </c>
      <c r="Q45" s="67">
        <f t="shared" si="8"/>
        <v>335.8</v>
      </c>
      <c r="R45" s="71">
        <f t="shared" si="9"/>
        <v>2221.8</v>
      </c>
      <c r="S45" s="41"/>
    </row>
    <row r="46" spans="1:19" ht="45.75" customHeight="1">
      <c r="A46" s="54">
        <v>17535000000</v>
      </c>
      <c r="B46" s="15"/>
      <c r="C46" s="46" t="s">
        <v>126</v>
      </c>
      <c r="D46" s="67">
        <v>998</v>
      </c>
      <c r="E46" s="67"/>
      <c r="F46" s="67">
        <f t="shared" si="0"/>
        <v>998</v>
      </c>
      <c r="G46" s="68">
        <v>7111</v>
      </c>
      <c r="H46" s="68">
        <v>7</v>
      </c>
      <c r="I46" s="69">
        <f t="shared" si="1"/>
        <v>7118</v>
      </c>
      <c r="J46" s="67">
        <f t="shared" si="2"/>
        <v>270.8</v>
      </c>
      <c r="K46" s="67">
        <v>4790.478</v>
      </c>
      <c r="L46" s="70">
        <f t="shared" si="3"/>
        <v>0.3133622009752729</v>
      </c>
      <c r="M46" s="70">
        <f t="shared" si="4"/>
        <v>1.686637799024727</v>
      </c>
      <c r="N46" s="67">
        <f t="shared" si="5"/>
        <v>715.6</v>
      </c>
      <c r="O46" s="70">
        <f aca="true" t="shared" si="11" ref="O46:O77">1+(1-L46)</f>
        <v>1.686637799024727</v>
      </c>
      <c r="P46" s="67">
        <f t="shared" si="7"/>
        <v>706</v>
      </c>
      <c r="Q46" s="67">
        <f t="shared" si="8"/>
        <v>55.2</v>
      </c>
      <c r="R46" s="71">
        <f t="shared" si="9"/>
        <v>1032</v>
      </c>
      <c r="S46" s="41"/>
    </row>
    <row r="47" spans="1:19" ht="45.75" customHeight="1">
      <c r="A47" s="54">
        <v>17536000000</v>
      </c>
      <c r="B47" s="15"/>
      <c r="C47" s="46" t="s">
        <v>65</v>
      </c>
      <c r="D47" s="67">
        <v>1108</v>
      </c>
      <c r="E47" s="67"/>
      <c r="F47" s="67">
        <f t="shared" si="0"/>
        <v>1108</v>
      </c>
      <c r="G47" s="68">
        <v>5620</v>
      </c>
      <c r="H47" s="68">
        <v>14</v>
      </c>
      <c r="I47" s="69">
        <f t="shared" si="1"/>
        <v>5634</v>
      </c>
      <c r="J47" s="67">
        <f t="shared" si="2"/>
        <v>300.7</v>
      </c>
      <c r="K47" s="67">
        <v>5062.829680000001</v>
      </c>
      <c r="L47" s="70">
        <f t="shared" si="3"/>
        <v>0.41841015578716634</v>
      </c>
      <c r="M47" s="70">
        <f t="shared" si="4"/>
        <v>1.5815898442128336</v>
      </c>
      <c r="N47" s="67">
        <f t="shared" si="5"/>
        <v>671.1</v>
      </c>
      <c r="O47" s="70">
        <f t="shared" si="11"/>
        <v>1.5815898442128336</v>
      </c>
      <c r="P47" s="67">
        <f t="shared" si="7"/>
        <v>662</v>
      </c>
      <c r="Q47" s="67">
        <f t="shared" si="8"/>
        <v>43.7</v>
      </c>
      <c r="R47" s="71">
        <f t="shared" si="9"/>
        <v>1006.4000000000001</v>
      </c>
      <c r="S47" s="41"/>
    </row>
    <row r="48" spans="1:19" ht="45.75" customHeight="1">
      <c r="A48" s="54">
        <v>17537000000</v>
      </c>
      <c r="B48" s="15"/>
      <c r="C48" s="46" t="s">
        <v>66</v>
      </c>
      <c r="D48" s="67">
        <v>1055</v>
      </c>
      <c r="E48" s="67"/>
      <c r="F48" s="67">
        <f t="shared" si="0"/>
        <v>1055</v>
      </c>
      <c r="G48" s="68">
        <v>5677</v>
      </c>
      <c r="H48" s="68">
        <v>2</v>
      </c>
      <c r="I48" s="69">
        <f t="shared" si="1"/>
        <v>5679</v>
      </c>
      <c r="J48" s="67">
        <f t="shared" si="2"/>
        <v>286.3</v>
      </c>
      <c r="K48" s="67">
        <v>3468.6340000000005</v>
      </c>
      <c r="L48" s="70">
        <f t="shared" si="3"/>
        <v>0.28438870960786955</v>
      </c>
      <c r="M48" s="70">
        <f t="shared" si="4"/>
        <v>1.7156112903921303</v>
      </c>
      <c r="N48" s="67">
        <f t="shared" si="5"/>
        <v>727.9</v>
      </c>
      <c r="O48" s="70">
        <f t="shared" si="11"/>
        <v>1.7156112903921303</v>
      </c>
      <c r="P48" s="67">
        <f t="shared" si="7"/>
        <v>718.1</v>
      </c>
      <c r="Q48" s="67">
        <f t="shared" si="8"/>
        <v>44</v>
      </c>
      <c r="R48" s="71">
        <f t="shared" si="9"/>
        <v>1048.4</v>
      </c>
      <c r="S48" s="41"/>
    </row>
    <row r="49" spans="1:19" ht="45.75" customHeight="1">
      <c r="A49" s="54">
        <v>17538000000</v>
      </c>
      <c r="B49" s="15"/>
      <c r="C49" s="46" t="s">
        <v>67</v>
      </c>
      <c r="D49" s="67">
        <v>520</v>
      </c>
      <c r="E49" s="67"/>
      <c r="F49" s="67">
        <f t="shared" si="0"/>
        <v>520</v>
      </c>
      <c r="G49" s="68">
        <v>3724</v>
      </c>
      <c r="H49" s="68">
        <v>6</v>
      </c>
      <c r="I49" s="69">
        <f t="shared" si="1"/>
        <v>3730</v>
      </c>
      <c r="J49" s="67">
        <f t="shared" si="2"/>
        <v>141.1</v>
      </c>
      <c r="K49" s="67">
        <v>9037.623</v>
      </c>
      <c r="L49" s="70">
        <f t="shared" si="3"/>
        <v>1.128161128454886</v>
      </c>
      <c r="M49" s="70">
        <f t="shared" si="4"/>
        <v>0.871838871545114</v>
      </c>
      <c r="N49" s="67">
        <f t="shared" si="5"/>
        <v>369.9</v>
      </c>
      <c r="O49" s="70">
        <f t="shared" si="11"/>
        <v>0.871838871545114</v>
      </c>
      <c r="P49" s="67">
        <f t="shared" si="7"/>
        <v>364.9</v>
      </c>
      <c r="Q49" s="67">
        <f t="shared" si="8"/>
        <v>28.9</v>
      </c>
      <c r="R49" s="71">
        <f t="shared" si="9"/>
        <v>534.9</v>
      </c>
      <c r="S49" s="41"/>
    </row>
    <row r="50" spans="1:19" ht="45.75" customHeight="1">
      <c r="A50" s="54">
        <v>17539000000</v>
      </c>
      <c r="B50" s="15"/>
      <c r="C50" s="46" t="s">
        <v>68</v>
      </c>
      <c r="D50" s="67">
        <v>2352</v>
      </c>
      <c r="E50" s="67"/>
      <c r="F50" s="67">
        <f t="shared" si="0"/>
        <v>2352</v>
      </c>
      <c r="G50" s="68">
        <v>12828</v>
      </c>
      <c r="H50" s="68">
        <v>6</v>
      </c>
      <c r="I50" s="69">
        <f t="shared" si="1"/>
        <v>12834</v>
      </c>
      <c r="J50" s="67">
        <f t="shared" si="2"/>
        <v>638.2</v>
      </c>
      <c r="K50" s="67">
        <v>15508.59</v>
      </c>
      <c r="L50" s="70">
        <f t="shared" si="3"/>
        <v>0.5626470190754206</v>
      </c>
      <c r="M50" s="70">
        <f t="shared" si="4"/>
        <v>1.4373529809245795</v>
      </c>
      <c r="N50" s="67">
        <f t="shared" si="5"/>
        <v>609.9</v>
      </c>
      <c r="O50" s="70">
        <f t="shared" si="11"/>
        <v>1.4373529809245795</v>
      </c>
      <c r="P50" s="67">
        <f t="shared" si="7"/>
        <v>601.7</v>
      </c>
      <c r="Q50" s="67">
        <f t="shared" si="8"/>
        <v>99.5</v>
      </c>
      <c r="R50" s="71">
        <f t="shared" si="9"/>
        <v>1339.4</v>
      </c>
      <c r="S50" s="41"/>
    </row>
    <row r="51" spans="1:19" ht="45.75" customHeight="1">
      <c r="A51" s="54">
        <v>17540000000</v>
      </c>
      <c r="B51" s="15"/>
      <c r="C51" s="46" t="s">
        <v>69</v>
      </c>
      <c r="D51" s="67">
        <v>1168</v>
      </c>
      <c r="E51" s="67"/>
      <c r="F51" s="67">
        <f t="shared" si="0"/>
        <v>1168</v>
      </c>
      <c r="G51" s="68">
        <v>7171</v>
      </c>
      <c r="H51" s="68">
        <v>4</v>
      </c>
      <c r="I51" s="69">
        <f t="shared" si="1"/>
        <v>7175</v>
      </c>
      <c r="J51" s="67">
        <f t="shared" si="2"/>
        <v>317</v>
      </c>
      <c r="K51" s="67">
        <v>6875.992</v>
      </c>
      <c r="L51" s="70">
        <f t="shared" si="3"/>
        <v>0.4462098981399522</v>
      </c>
      <c r="M51" s="70">
        <f t="shared" si="4"/>
        <v>1.5537901018600477</v>
      </c>
      <c r="N51" s="67">
        <f t="shared" si="5"/>
        <v>659.3</v>
      </c>
      <c r="O51" s="70">
        <f t="shared" si="11"/>
        <v>1.5537901018600477</v>
      </c>
      <c r="P51" s="67">
        <f t="shared" si="7"/>
        <v>650.4</v>
      </c>
      <c r="Q51" s="67">
        <f t="shared" si="8"/>
        <v>55.6</v>
      </c>
      <c r="R51" s="71">
        <f t="shared" si="9"/>
        <v>1023</v>
      </c>
      <c r="S51" s="41"/>
    </row>
    <row r="52" spans="1:19" ht="45.75" customHeight="1">
      <c r="A52" s="54">
        <v>17541000000</v>
      </c>
      <c r="B52" s="15"/>
      <c r="C52" s="46" t="s">
        <v>70</v>
      </c>
      <c r="D52" s="67">
        <v>1186</v>
      </c>
      <c r="E52" s="67"/>
      <c r="F52" s="67">
        <f t="shared" si="0"/>
        <v>1186</v>
      </c>
      <c r="G52" s="68">
        <v>6166</v>
      </c>
      <c r="H52" s="68">
        <v>0</v>
      </c>
      <c r="I52" s="69">
        <f t="shared" si="1"/>
        <v>6166</v>
      </c>
      <c r="J52" s="67">
        <f t="shared" si="2"/>
        <v>321.8</v>
      </c>
      <c r="K52" s="67">
        <v>3247.9449999999997</v>
      </c>
      <c r="L52" s="70">
        <f t="shared" si="3"/>
        <v>0.24526235190684598</v>
      </c>
      <c r="M52" s="70">
        <f t="shared" si="4"/>
        <v>1.754737648093154</v>
      </c>
      <c r="N52" s="67">
        <f t="shared" si="5"/>
        <v>744.5</v>
      </c>
      <c r="O52" s="70">
        <f t="shared" si="11"/>
        <v>1.754737648093154</v>
      </c>
      <c r="P52" s="67">
        <f t="shared" si="7"/>
        <v>734.5</v>
      </c>
      <c r="Q52" s="67">
        <f t="shared" si="8"/>
        <v>47.8</v>
      </c>
      <c r="R52" s="71">
        <f t="shared" si="9"/>
        <v>1104.1</v>
      </c>
      <c r="S52" s="41"/>
    </row>
    <row r="53" spans="1:19" ht="45.75" customHeight="1">
      <c r="A53" s="54">
        <v>17543000000</v>
      </c>
      <c r="B53" s="15"/>
      <c r="C53" s="46" t="s">
        <v>71</v>
      </c>
      <c r="D53" s="67">
        <v>907</v>
      </c>
      <c r="E53" s="67"/>
      <c r="F53" s="67">
        <f t="shared" si="0"/>
        <v>907</v>
      </c>
      <c r="G53" s="68">
        <v>5650</v>
      </c>
      <c r="H53" s="68">
        <v>4</v>
      </c>
      <c r="I53" s="69">
        <f t="shared" si="1"/>
        <v>5654</v>
      </c>
      <c r="J53" s="67">
        <f t="shared" si="2"/>
        <v>246.1</v>
      </c>
      <c r="K53" s="67">
        <v>7374.613</v>
      </c>
      <c r="L53" s="70">
        <f t="shared" si="3"/>
        <v>0.6073082390729664</v>
      </c>
      <c r="M53" s="70">
        <f t="shared" si="4"/>
        <v>1.3926917609270335</v>
      </c>
      <c r="N53" s="67">
        <f t="shared" si="5"/>
        <v>590.9</v>
      </c>
      <c r="O53" s="70">
        <f t="shared" si="11"/>
        <v>1.3926917609270335</v>
      </c>
      <c r="P53" s="67">
        <f t="shared" si="7"/>
        <v>583</v>
      </c>
      <c r="Q53" s="67">
        <f t="shared" si="8"/>
        <v>43.8</v>
      </c>
      <c r="R53" s="71">
        <f t="shared" si="9"/>
        <v>872.9</v>
      </c>
      <c r="S53" s="41"/>
    </row>
    <row r="54" spans="1:19" ht="45.75" customHeight="1">
      <c r="A54" s="54">
        <v>17544000000</v>
      </c>
      <c r="B54" s="15"/>
      <c r="C54" s="56" t="s">
        <v>72</v>
      </c>
      <c r="D54" s="67">
        <v>1154</v>
      </c>
      <c r="E54" s="67"/>
      <c r="F54" s="67">
        <f t="shared" si="0"/>
        <v>1154</v>
      </c>
      <c r="G54" s="68">
        <v>7240</v>
      </c>
      <c r="H54" s="68">
        <v>4</v>
      </c>
      <c r="I54" s="69">
        <f t="shared" si="1"/>
        <v>7244</v>
      </c>
      <c r="J54" s="67">
        <f t="shared" si="2"/>
        <v>313.2</v>
      </c>
      <c r="K54" s="67">
        <v>5853.366999999999</v>
      </c>
      <c r="L54" s="70">
        <f t="shared" si="3"/>
        <v>0.3762296821768618</v>
      </c>
      <c r="M54" s="70">
        <f t="shared" si="4"/>
        <v>1.6237703178231382</v>
      </c>
      <c r="N54" s="67">
        <f t="shared" si="5"/>
        <v>689</v>
      </c>
      <c r="O54" s="70">
        <f t="shared" si="11"/>
        <v>1.6237703178231382</v>
      </c>
      <c r="P54" s="67">
        <f t="shared" si="7"/>
        <v>679.7</v>
      </c>
      <c r="Q54" s="67">
        <f t="shared" si="8"/>
        <v>56.2</v>
      </c>
      <c r="R54" s="71">
        <f t="shared" si="9"/>
        <v>1049.1000000000001</v>
      </c>
      <c r="S54" s="41"/>
    </row>
    <row r="55" spans="1:19" ht="45.75" customHeight="1">
      <c r="A55" s="54">
        <v>17545000000</v>
      </c>
      <c r="B55" s="15"/>
      <c r="C55" s="46" t="s">
        <v>73</v>
      </c>
      <c r="D55" s="67">
        <v>408</v>
      </c>
      <c r="E55" s="67"/>
      <c r="F55" s="67">
        <f t="shared" si="0"/>
        <v>408</v>
      </c>
      <c r="G55" s="68">
        <v>4498</v>
      </c>
      <c r="H55" s="68">
        <v>21</v>
      </c>
      <c r="I55" s="69">
        <f t="shared" si="1"/>
        <v>4519</v>
      </c>
      <c r="J55" s="67">
        <f t="shared" si="2"/>
        <v>110.7</v>
      </c>
      <c r="K55" s="67">
        <v>6991.7880000000005</v>
      </c>
      <c r="L55" s="70">
        <f t="shared" si="3"/>
        <v>0.7203965970783685</v>
      </c>
      <c r="M55" s="70">
        <f t="shared" si="4"/>
        <v>1.2796034029216314</v>
      </c>
      <c r="N55" s="67">
        <f t="shared" si="5"/>
        <v>542.9</v>
      </c>
      <c r="O55" s="70">
        <f t="shared" si="11"/>
        <v>1.2796034029216314</v>
      </c>
      <c r="P55" s="67">
        <f t="shared" si="7"/>
        <v>535.6</v>
      </c>
      <c r="Q55" s="67">
        <f t="shared" si="8"/>
        <v>35</v>
      </c>
      <c r="R55" s="71">
        <f t="shared" si="9"/>
        <v>681.3000000000001</v>
      </c>
      <c r="S55" s="41"/>
    </row>
    <row r="56" spans="1:19" ht="45.75" customHeight="1">
      <c r="A56" s="54">
        <v>17546000000</v>
      </c>
      <c r="B56" s="15"/>
      <c r="C56" s="56" t="s">
        <v>39</v>
      </c>
      <c r="D56" s="67">
        <v>3629</v>
      </c>
      <c r="E56" s="67"/>
      <c r="F56" s="67">
        <f t="shared" si="0"/>
        <v>3629</v>
      </c>
      <c r="G56" s="68">
        <v>11945</v>
      </c>
      <c r="H56" s="68">
        <v>6</v>
      </c>
      <c r="I56" s="69">
        <f t="shared" si="1"/>
        <v>11951</v>
      </c>
      <c r="J56" s="67">
        <f t="shared" si="2"/>
        <v>984.8</v>
      </c>
      <c r="K56" s="67">
        <v>2084.88</v>
      </c>
      <c r="L56" s="70">
        <f t="shared" si="3"/>
        <v>0.08122740134981447</v>
      </c>
      <c r="M56" s="70">
        <f t="shared" si="4"/>
        <v>1.9187725986501856</v>
      </c>
      <c r="N56" s="67">
        <f t="shared" si="5"/>
        <v>814.1</v>
      </c>
      <c r="O56" s="70">
        <f t="shared" si="11"/>
        <v>1.9187725986501856</v>
      </c>
      <c r="P56" s="67">
        <f t="shared" si="7"/>
        <v>803.2</v>
      </c>
      <c r="Q56" s="67">
        <f t="shared" si="8"/>
        <v>92.7</v>
      </c>
      <c r="R56" s="71">
        <f t="shared" si="9"/>
        <v>1880.7</v>
      </c>
      <c r="S56" s="41"/>
    </row>
    <row r="57" spans="1:19" ht="45.75" customHeight="1">
      <c r="A57" s="54">
        <v>17547000000</v>
      </c>
      <c r="B57" s="15"/>
      <c r="C57" s="56" t="s">
        <v>74</v>
      </c>
      <c r="D57" s="67">
        <v>10045</v>
      </c>
      <c r="E57" s="67"/>
      <c r="F57" s="67">
        <f t="shared" si="0"/>
        <v>10045</v>
      </c>
      <c r="G57" s="68">
        <v>51321</v>
      </c>
      <c r="H57" s="68">
        <v>75</v>
      </c>
      <c r="I57" s="69">
        <f t="shared" si="1"/>
        <v>51396</v>
      </c>
      <c r="J57" s="67">
        <f t="shared" si="2"/>
        <v>2725.8</v>
      </c>
      <c r="K57" s="67">
        <v>59502.71490100001</v>
      </c>
      <c r="L57" s="70">
        <f t="shared" si="3"/>
        <v>0.5390551550832811</v>
      </c>
      <c r="M57" s="70">
        <f t="shared" si="4"/>
        <v>1.4609448449167188</v>
      </c>
      <c r="N57" s="67">
        <f t="shared" si="5"/>
        <v>619.9</v>
      </c>
      <c r="O57" s="70">
        <f t="shared" si="11"/>
        <v>1.4609448449167188</v>
      </c>
      <c r="P57" s="67">
        <f t="shared" si="7"/>
        <v>611.5</v>
      </c>
      <c r="Q57" s="67">
        <f t="shared" si="8"/>
        <v>398.6</v>
      </c>
      <c r="R57" s="71">
        <f t="shared" si="9"/>
        <v>3735.9</v>
      </c>
      <c r="S57" s="41"/>
    </row>
    <row r="58" spans="1:19" ht="45.75" customHeight="1">
      <c r="A58" s="54">
        <v>17548000000</v>
      </c>
      <c r="B58" s="15"/>
      <c r="C58" s="56" t="s">
        <v>75</v>
      </c>
      <c r="D58" s="67">
        <v>1293</v>
      </c>
      <c r="E58" s="67"/>
      <c r="F58" s="67">
        <f t="shared" si="0"/>
        <v>1293</v>
      </c>
      <c r="G58" s="68">
        <v>9802</v>
      </c>
      <c r="H58" s="68">
        <v>23</v>
      </c>
      <c r="I58" s="69">
        <f t="shared" si="1"/>
        <v>9825</v>
      </c>
      <c r="J58" s="67">
        <f t="shared" si="2"/>
        <v>350.9</v>
      </c>
      <c r="K58" s="67">
        <v>11897.745</v>
      </c>
      <c r="L58" s="70">
        <f t="shared" si="3"/>
        <v>0.5638425417040065</v>
      </c>
      <c r="M58" s="70">
        <f t="shared" si="4"/>
        <v>1.4361574582959935</v>
      </c>
      <c r="N58" s="67">
        <f t="shared" si="5"/>
        <v>609.3</v>
      </c>
      <c r="O58" s="70">
        <f t="shared" si="11"/>
        <v>1.4361574582959935</v>
      </c>
      <c r="P58" s="67">
        <f t="shared" si="7"/>
        <v>601.2</v>
      </c>
      <c r="Q58" s="67">
        <f t="shared" si="8"/>
        <v>76.2</v>
      </c>
      <c r="R58" s="71">
        <f t="shared" si="9"/>
        <v>1028.3000000000002</v>
      </c>
      <c r="S58" s="41"/>
    </row>
    <row r="59" spans="1:19" ht="45.75" customHeight="1">
      <c r="A59" s="54">
        <v>17549000000</v>
      </c>
      <c r="B59" s="15"/>
      <c r="C59" s="56" t="s">
        <v>76</v>
      </c>
      <c r="D59" s="67">
        <v>612</v>
      </c>
      <c r="E59" s="67"/>
      <c r="F59" s="67">
        <f t="shared" si="0"/>
        <v>612</v>
      </c>
      <c r="G59" s="68">
        <v>5438</v>
      </c>
      <c r="H59" s="68">
        <v>1</v>
      </c>
      <c r="I59" s="69">
        <f t="shared" si="1"/>
        <v>5439</v>
      </c>
      <c r="J59" s="67">
        <f t="shared" si="2"/>
        <v>166.1</v>
      </c>
      <c r="K59" s="67">
        <v>5256.821</v>
      </c>
      <c r="L59" s="70">
        <f t="shared" si="3"/>
        <v>0.45001798719727937</v>
      </c>
      <c r="M59" s="70">
        <f t="shared" si="4"/>
        <v>1.5499820128027206</v>
      </c>
      <c r="N59" s="67">
        <f t="shared" si="5"/>
        <v>657.6</v>
      </c>
      <c r="O59" s="70">
        <f t="shared" si="11"/>
        <v>1.5499820128027206</v>
      </c>
      <c r="P59" s="67">
        <f t="shared" si="7"/>
        <v>648.8</v>
      </c>
      <c r="Q59" s="67">
        <f t="shared" si="8"/>
        <v>42.2</v>
      </c>
      <c r="R59" s="71">
        <f t="shared" si="9"/>
        <v>857.1</v>
      </c>
      <c r="S59" s="41"/>
    </row>
    <row r="60" spans="1:19" ht="45.75" customHeight="1">
      <c r="A60" s="54">
        <v>17550000000</v>
      </c>
      <c r="B60" s="15"/>
      <c r="C60" s="56" t="s">
        <v>77</v>
      </c>
      <c r="D60" s="67">
        <v>806</v>
      </c>
      <c r="E60" s="67"/>
      <c r="F60" s="67">
        <f t="shared" si="0"/>
        <v>806</v>
      </c>
      <c r="G60" s="68">
        <v>7997</v>
      </c>
      <c r="H60" s="68">
        <v>6</v>
      </c>
      <c r="I60" s="69">
        <f t="shared" si="1"/>
        <v>8003</v>
      </c>
      <c r="J60" s="67">
        <f t="shared" si="2"/>
        <v>218.7</v>
      </c>
      <c r="K60" s="67">
        <v>5553.8009999999995</v>
      </c>
      <c r="L60" s="70">
        <f t="shared" si="3"/>
        <v>0.3231195534829738</v>
      </c>
      <c r="M60" s="70">
        <f t="shared" si="4"/>
        <v>1.6768804465170262</v>
      </c>
      <c r="N60" s="67">
        <f t="shared" si="5"/>
        <v>711.5</v>
      </c>
      <c r="O60" s="70">
        <f t="shared" si="11"/>
        <v>1.6768804465170262</v>
      </c>
      <c r="P60" s="67">
        <f t="shared" si="7"/>
        <v>701.9</v>
      </c>
      <c r="Q60" s="67">
        <f t="shared" si="8"/>
        <v>62.1</v>
      </c>
      <c r="R60" s="71">
        <f t="shared" si="9"/>
        <v>982.7</v>
      </c>
      <c r="S60" s="41"/>
    </row>
    <row r="61" spans="1:19" ht="45.75" customHeight="1">
      <c r="A61" s="54">
        <v>17551000000</v>
      </c>
      <c r="B61" s="15"/>
      <c r="C61" s="56" t="s">
        <v>78</v>
      </c>
      <c r="D61" s="67">
        <v>522</v>
      </c>
      <c r="E61" s="67"/>
      <c r="F61" s="67">
        <f t="shared" si="0"/>
        <v>522</v>
      </c>
      <c r="G61" s="68">
        <v>4578</v>
      </c>
      <c r="H61" s="68">
        <v>11</v>
      </c>
      <c r="I61" s="69">
        <f t="shared" si="1"/>
        <v>4589</v>
      </c>
      <c r="J61" s="67">
        <f t="shared" si="2"/>
        <v>141.7</v>
      </c>
      <c r="K61" s="67">
        <v>5494.947999999999</v>
      </c>
      <c r="L61" s="70">
        <f t="shared" si="3"/>
        <v>0.5575338905921071</v>
      </c>
      <c r="M61" s="70">
        <f t="shared" si="4"/>
        <v>1.442466109407893</v>
      </c>
      <c r="N61" s="67">
        <f t="shared" si="5"/>
        <v>612</v>
      </c>
      <c r="O61" s="70">
        <f t="shared" si="11"/>
        <v>1.442466109407893</v>
      </c>
      <c r="P61" s="67">
        <f t="shared" si="7"/>
        <v>603.8</v>
      </c>
      <c r="Q61" s="67">
        <f t="shared" si="8"/>
        <v>35.6</v>
      </c>
      <c r="R61" s="71">
        <f t="shared" si="9"/>
        <v>781.0999999999999</v>
      </c>
      <c r="S61" s="41"/>
    </row>
    <row r="62" spans="1:19" ht="45.75" customHeight="1">
      <c r="A62" s="54">
        <v>17552000000</v>
      </c>
      <c r="B62" s="15"/>
      <c r="C62" s="56" t="s">
        <v>79</v>
      </c>
      <c r="D62" s="67">
        <v>5061</v>
      </c>
      <c r="E62" s="67"/>
      <c r="F62" s="67">
        <f t="shared" si="0"/>
        <v>5061</v>
      </c>
      <c r="G62" s="68">
        <v>26302</v>
      </c>
      <c r="H62" s="68">
        <v>57</v>
      </c>
      <c r="I62" s="69">
        <f t="shared" si="1"/>
        <v>26359</v>
      </c>
      <c r="J62" s="67">
        <f t="shared" si="2"/>
        <v>1373.4</v>
      </c>
      <c r="K62" s="67">
        <v>30137.561999999994</v>
      </c>
      <c r="L62" s="70">
        <f t="shared" si="3"/>
        <v>0.5323594029124968</v>
      </c>
      <c r="M62" s="70">
        <f t="shared" si="4"/>
        <v>1.4676405970875033</v>
      </c>
      <c r="N62" s="67">
        <f t="shared" si="5"/>
        <v>622.7</v>
      </c>
      <c r="O62" s="70">
        <f t="shared" si="11"/>
        <v>1.4676405970875033</v>
      </c>
      <c r="P62" s="67">
        <f t="shared" si="7"/>
        <v>614.3</v>
      </c>
      <c r="Q62" s="67">
        <f t="shared" si="8"/>
        <v>204.4</v>
      </c>
      <c r="R62" s="71">
        <f t="shared" si="9"/>
        <v>2192.1</v>
      </c>
      <c r="S62" s="41"/>
    </row>
    <row r="63" spans="1:19" ht="45.75" customHeight="1">
      <c r="A63" s="54">
        <v>17553000000</v>
      </c>
      <c r="B63" s="15"/>
      <c r="C63" s="56" t="s">
        <v>80</v>
      </c>
      <c r="D63" s="67">
        <v>1336</v>
      </c>
      <c r="E63" s="67"/>
      <c r="F63" s="67">
        <f t="shared" si="0"/>
        <v>1336</v>
      </c>
      <c r="G63" s="68">
        <v>10626</v>
      </c>
      <c r="H63" s="68">
        <v>24</v>
      </c>
      <c r="I63" s="69">
        <f t="shared" si="1"/>
        <v>10650</v>
      </c>
      <c r="J63" s="67">
        <f t="shared" si="2"/>
        <v>362.5</v>
      </c>
      <c r="K63" s="67">
        <v>16690.483</v>
      </c>
      <c r="L63" s="70">
        <f t="shared" si="3"/>
        <v>0.7297011648570024</v>
      </c>
      <c r="M63" s="70">
        <f t="shared" si="4"/>
        <v>1.2702988351429976</v>
      </c>
      <c r="N63" s="67">
        <f t="shared" si="5"/>
        <v>539</v>
      </c>
      <c r="O63" s="70">
        <f t="shared" si="11"/>
        <v>1.2702988351429976</v>
      </c>
      <c r="P63" s="67">
        <f t="shared" si="7"/>
        <v>531.7</v>
      </c>
      <c r="Q63" s="67">
        <f t="shared" si="8"/>
        <v>82.6</v>
      </c>
      <c r="R63" s="71">
        <f t="shared" si="9"/>
        <v>976.8000000000001</v>
      </c>
      <c r="S63" s="41"/>
    </row>
    <row r="64" spans="1:19" ht="45.75" customHeight="1">
      <c r="A64" s="54">
        <v>17554000000</v>
      </c>
      <c r="B64" s="15"/>
      <c r="C64" s="56" t="s">
        <v>81</v>
      </c>
      <c r="D64" s="67">
        <v>2511</v>
      </c>
      <c r="E64" s="67"/>
      <c r="F64" s="67">
        <f t="shared" si="0"/>
        <v>2511</v>
      </c>
      <c r="G64" s="68">
        <v>23193</v>
      </c>
      <c r="H64" s="68">
        <v>31</v>
      </c>
      <c r="I64" s="69">
        <f t="shared" si="1"/>
        <v>23224</v>
      </c>
      <c r="J64" s="67">
        <f t="shared" si="2"/>
        <v>681.4</v>
      </c>
      <c r="K64" s="67">
        <v>39288.896</v>
      </c>
      <c r="L64" s="70">
        <f t="shared" si="3"/>
        <v>0.7876958279798075</v>
      </c>
      <c r="M64" s="70">
        <f t="shared" si="4"/>
        <v>1.2123041720201924</v>
      </c>
      <c r="N64" s="67">
        <f t="shared" si="5"/>
        <v>514.4</v>
      </c>
      <c r="O64" s="70">
        <f t="shared" si="11"/>
        <v>1.2123041720201924</v>
      </c>
      <c r="P64" s="67">
        <f t="shared" si="7"/>
        <v>507.5</v>
      </c>
      <c r="Q64" s="67">
        <f t="shared" si="8"/>
        <v>180.1</v>
      </c>
      <c r="R64" s="71">
        <f t="shared" si="9"/>
        <v>1369</v>
      </c>
      <c r="S64" s="41"/>
    </row>
    <row r="65" spans="1:19" ht="45.75" customHeight="1">
      <c r="A65" s="54">
        <v>17555000000</v>
      </c>
      <c r="B65" s="15"/>
      <c r="C65" s="56" t="s">
        <v>82</v>
      </c>
      <c r="D65" s="67">
        <v>4654</v>
      </c>
      <c r="E65" s="67"/>
      <c r="F65" s="67">
        <f t="shared" si="0"/>
        <v>4654</v>
      </c>
      <c r="G65" s="68">
        <v>37464</v>
      </c>
      <c r="H65" s="68">
        <v>212</v>
      </c>
      <c r="I65" s="69">
        <f t="shared" si="1"/>
        <v>37676</v>
      </c>
      <c r="J65" s="67">
        <f t="shared" si="2"/>
        <v>1262.9</v>
      </c>
      <c r="K65" s="67">
        <v>93525.781</v>
      </c>
      <c r="L65" s="70">
        <f t="shared" si="3"/>
        <v>1.1558255695839441</v>
      </c>
      <c r="M65" s="70">
        <f t="shared" si="4"/>
        <v>0.8441744304160559</v>
      </c>
      <c r="N65" s="67">
        <f t="shared" si="5"/>
        <v>358.2</v>
      </c>
      <c r="O65" s="70">
        <f t="shared" si="11"/>
        <v>0.8441744304160559</v>
      </c>
      <c r="P65" s="67">
        <f t="shared" si="7"/>
        <v>353.4</v>
      </c>
      <c r="Q65" s="67">
        <f t="shared" si="8"/>
        <v>292.2</v>
      </c>
      <c r="R65" s="71">
        <f t="shared" si="9"/>
        <v>1908.5</v>
      </c>
      <c r="S65" s="41"/>
    </row>
    <row r="66" spans="1:19" ht="45.75" customHeight="1">
      <c r="A66" s="54">
        <v>17556000000</v>
      </c>
      <c r="B66" s="15"/>
      <c r="C66" s="56" t="s">
        <v>83</v>
      </c>
      <c r="D66" s="67">
        <v>4613</v>
      </c>
      <c r="E66" s="67"/>
      <c r="F66" s="67">
        <f t="shared" si="0"/>
        <v>4613</v>
      </c>
      <c r="G66" s="68">
        <v>34800</v>
      </c>
      <c r="H66" s="68">
        <v>61</v>
      </c>
      <c r="I66" s="69">
        <f t="shared" si="1"/>
        <v>34861</v>
      </c>
      <c r="J66" s="67">
        <f t="shared" si="2"/>
        <v>1251.8</v>
      </c>
      <c r="K66" s="67">
        <v>35108.204000000005</v>
      </c>
      <c r="L66" s="70">
        <f t="shared" si="3"/>
        <v>0.468915420471651</v>
      </c>
      <c r="M66" s="70">
        <f t="shared" si="4"/>
        <v>1.531084579528349</v>
      </c>
      <c r="N66" s="67">
        <f t="shared" si="5"/>
        <v>649.6</v>
      </c>
      <c r="O66" s="70">
        <f t="shared" si="11"/>
        <v>1.531084579528349</v>
      </c>
      <c r="P66" s="67">
        <f t="shared" si="7"/>
        <v>640.9</v>
      </c>
      <c r="Q66" s="67">
        <f t="shared" si="8"/>
        <v>270.4</v>
      </c>
      <c r="R66" s="71">
        <f t="shared" si="9"/>
        <v>2163.1</v>
      </c>
      <c r="S66" s="41"/>
    </row>
    <row r="67" spans="1:19" ht="45.75" customHeight="1">
      <c r="A67" s="54">
        <v>17557000000</v>
      </c>
      <c r="B67" s="15"/>
      <c r="C67" s="56" t="s">
        <v>84</v>
      </c>
      <c r="D67" s="67">
        <v>4920</v>
      </c>
      <c r="E67" s="67"/>
      <c r="F67" s="67">
        <f t="shared" si="0"/>
        <v>4920</v>
      </c>
      <c r="G67" s="68">
        <v>28790</v>
      </c>
      <c r="H67" s="68">
        <v>37</v>
      </c>
      <c r="I67" s="69">
        <f t="shared" si="1"/>
        <v>28827</v>
      </c>
      <c r="J67" s="67">
        <f t="shared" si="2"/>
        <v>1335.1</v>
      </c>
      <c r="K67" s="67">
        <v>27172.445</v>
      </c>
      <c r="L67" s="70">
        <f t="shared" si="3"/>
        <v>0.4388893200369906</v>
      </c>
      <c r="M67" s="70">
        <f t="shared" si="4"/>
        <v>1.5611106799630095</v>
      </c>
      <c r="N67" s="67">
        <f t="shared" si="5"/>
        <v>662.4</v>
      </c>
      <c r="O67" s="70">
        <f t="shared" si="11"/>
        <v>1.5611106799630095</v>
      </c>
      <c r="P67" s="67">
        <f t="shared" si="7"/>
        <v>653.5</v>
      </c>
      <c r="Q67" s="67">
        <f t="shared" si="8"/>
        <v>223.6</v>
      </c>
      <c r="R67" s="71">
        <f t="shared" si="9"/>
        <v>2212.2</v>
      </c>
      <c r="S67" s="41"/>
    </row>
    <row r="68" spans="1:19" ht="45.75" customHeight="1">
      <c r="A68" s="54">
        <v>17558000000</v>
      </c>
      <c r="B68" s="15"/>
      <c r="C68" s="56" t="s">
        <v>85</v>
      </c>
      <c r="D68" s="67">
        <v>1198</v>
      </c>
      <c r="E68" s="67"/>
      <c r="F68" s="67">
        <f t="shared" si="0"/>
        <v>1198</v>
      </c>
      <c r="G68" s="68">
        <v>10045</v>
      </c>
      <c r="H68" s="68">
        <v>12</v>
      </c>
      <c r="I68" s="69">
        <f t="shared" si="1"/>
        <v>10057</v>
      </c>
      <c r="J68" s="67">
        <f t="shared" si="2"/>
        <v>325.1</v>
      </c>
      <c r="K68" s="67">
        <v>7537.725</v>
      </c>
      <c r="L68" s="70">
        <f t="shared" si="3"/>
        <v>0.3489776239631668</v>
      </c>
      <c r="M68" s="70">
        <f t="shared" si="4"/>
        <v>1.6510223760368332</v>
      </c>
      <c r="N68" s="67">
        <f t="shared" si="5"/>
        <v>700.5</v>
      </c>
      <c r="O68" s="70">
        <f t="shared" si="11"/>
        <v>1.6510223760368332</v>
      </c>
      <c r="P68" s="67">
        <f t="shared" si="7"/>
        <v>691.1</v>
      </c>
      <c r="Q68" s="67">
        <f t="shared" si="8"/>
        <v>78</v>
      </c>
      <c r="R68" s="71">
        <f t="shared" si="9"/>
        <v>1094.2</v>
      </c>
      <c r="S68" s="41"/>
    </row>
    <row r="69" spans="1:19" ht="45.75" customHeight="1">
      <c r="A69" s="54">
        <v>17559000000</v>
      </c>
      <c r="B69" s="15"/>
      <c r="C69" s="56" t="s">
        <v>86</v>
      </c>
      <c r="D69" s="67">
        <v>4563</v>
      </c>
      <c r="E69" s="67"/>
      <c r="F69" s="67">
        <f t="shared" si="0"/>
        <v>4563</v>
      </c>
      <c r="G69" s="68">
        <v>31764</v>
      </c>
      <c r="H69" s="68">
        <v>105</v>
      </c>
      <c r="I69" s="69">
        <f t="shared" si="1"/>
        <v>31869</v>
      </c>
      <c r="J69" s="67">
        <f t="shared" si="2"/>
        <v>1238.2</v>
      </c>
      <c r="K69" s="67">
        <v>90798.877</v>
      </c>
      <c r="L69" s="70">
        <f t="shared" si="3"/>
        <v>1.3265932511631728</v>
      </c>
      <c r="M69" s="70">
        <f t="shared" si="4"/>
        <v>0.6734067488368272</v>
      </c>
      <c r="N69" s="67">
        <f t="shared" si="5"/>
        <v>285.7</v>
      </c>
      <c r="O69" s="70">
        <f t="shared" si="11"/>
        <v>0.6734067488368272</v>
      </c>
      <c r="P69" s="67">
        <f t="shared" si="7"/>
        <v>281.9</v>
      </c>
      <c r="Q69" s="67">
        <f t="shared" si="8"/>
        <v>247.2</v>
      </c>
      <c r="R69" s="71">
        <f t="shared" si="9"/>
        <v>1767.3</v>
      </c>
      <c r="S69" s="41"/>
    </row>
    <row r="70" spans="1:19" ht="45.75" customHeight="1">
      <c r="A70" s="54">
        <v>17560000000</v>
      </c>
      <c r="B70" s="15"/>
      <c r="C70" s="56" t="s">
        <v>87</v>
      </c>
      <c r="D70" s="67">
        <v>1333</v>
      </c>
      <c r="E70" s="67"/>
      <c r="F70" s="67">
        <f t="shared" si="0"/>
        <v>1333</v>
      </c>
      <c r="G70" s="68">
        <v>13355</v>
      </c>
      <c r="H70" s="68">
        <v>11</v>
      </c>
      <c r="I70" s="69">
        <f t="shared" si="1"/>
        <v>13366</v>
      </c>
      <c r="J70" s="67">
        <f t="shared" si="2"/>
        <v>361.7</v>
      </c>
      <c r="K70" s="67">
        <v>33630.581999999995</v>
      </c>
      <c r="L70" s="70">
        <f t="shared" si="3"/>
        <v>1.171544174675981</v>
      </c>
      <c r="M70" s="70">
        <f t="shared" si="4"/>
        <v>0.8284558253240191</v>
      </c>
      <c r="N70" s="67">
        <f t="shared" si="5"/>
        <v>351.5</v>
      </c>
      <c r="O70" s="70">
        <f t="shared" si="11"/>
        <v>0.8284558253240191</v>
      </c>
      <c r="P70" s="67">
        <f t="shared" si="7"/>
        <v>346.8</v>
      </c>
      <c r="Q70" s="67">
        <f t="shared" si="8"/>
        <v>103.7</v>
      </c>
      <c r="R70" s="71">
        <f t="shared" si="9"/>
        <v>812.2</v>
      </c>
      <c r="S70" s="41"/>
    </row>
    <row r="71" spans="1:19" ht="45.75" customHeight="1">
      <c r="A71" s="54">
        <v>17561000000</v>
      </c>
      <c r="B71" s="15"/>
      <c r="C71" s="56" t="s">
        <v>88</v>
      </c>
      <c r="D71" s="67">
        <v>3485</v>
      </c>
      <c r="E71" s="67"/>
      <c r="F71" s="67">
        <f t="shared" si="0"/>
        <v>3485</v>
      </c>
      <c r="G71" s="68">
        <v>24556</v>
      </c>
      <c r="H71" s="68">
        <v>70</v>
      </c>
      <c r="I71" s="69">
        <f t="shared" si="1"/>
        <v>24626</v>
      </c>
      <c r="J71" s="67">
        <f t="shared" si="2"/>
        <v>945.7</v>
      </c>
      <c r="K71" s="67">
        <v>28964.14800000001</v>
      </c>
      <c r="L71" s="70">
        <f t="shared" si="3"/>
        <v>0.5476368016303592</v>
      </c>
      <c r="M71" s="70">
        <f t="shared" si="4"/>
        <v>1.4523631983696408</v>
      </c>
      <c r="N71" s="67">
        <f t="shared" si="5"/>
        <v>616.2</v>
      </c>
      <c r="O71" s="70">
        <f t="shared" si="11"/>
        <v>1.4523631983696408</v>
      </c>
      <c r="P71" s="67">
        <f t="shared" si="7"/>
        <v>607.9</v>
      </c>
      <c r="Q71" s="67">
        <f t="shared" si="8"/>
        <v>191</v>
      </c>
      <c r="R71" s="71">
        <f t="shared" si="9"/>
        <v>1744.6</v>
      </c>
      <c r="S71" s="41"/>
    </row>
    <row r="72" spans="1:19" ht="45.75" customHeight="1">
      <c r="A72" s="54">
        <v>17562000000</v>
      </c>
      <c r="B72" s="15"/>
      <c r="C72" s="56" t="s">
        <v>89</v>
      </c>
      <c r="D72" s="67">
        <v>5941</v>
      </c>
      <c r="E72" s="67"/>
      <c r="F72" s="67">
        <f t="shared" si="0"/>
        <v>5941</v>
      </c>
      <c r="G72" s="68">
        <v>44304</v>
      </c>
      <c r="H72" s="68">
        <v>106</v>
      </c>
      <c r="I72" s="69">
        <f t="shared" si="1"/>
        <v>44410</v>
      </c>
      <c r="J72" s="67">
        <f t="shared" si="2"/>
        <v>1612.2</v>
      </c>
      <c r="K72" s="67">
        <v>90182.463</v>
      </c>
      <c r="L72" s="70">
        <f t="shared" si="3"/>
        <v>0.9455120360992899</v>
      </c>
      <c r="M72" s="70">
        <f t="shared" si="4"/>
        <v>1.05448796390071</v>
      </c>
      <c r="N72" s="67">
        <f t="shared" si="5"/>
        <v>447.4</v>
      </c>
      <c r="O72" s="70">
        <f t="shared" si="11"/>
        <v>1.05448796390071</v>
      </c>
      <c r="P72" s="67">
        <f t="shared" si="7"/>
        <v>441.4</v>
      </c>
      <c r="Q72" s="67">
        <f t="shared" si="8"/>
        <v>344.4</v>
      </c>
      <c r="R72" s="71">
        <f t="shared" si="9"/>
        <v>2398</v>
      </c>
      <c r="S72" s="41"/>
    </row>
    <row r="73" spans="1:19" ht="45.75" customHeight="1">
      <c r="A73" s="54">
        <v>17563000000</v>
      </c>
      <c r="B73" s="15"/>
      <c r="C73" s="56" t="s">
        <v>90</v>
      </c>
      <c r="D73" s="67">
        <v>1246</v>
      </c>
      <c r="E73" s="67"/>
      <c r="F73" s="67">
        <f t="shared" si="0"/>
        <v>1246</v>
      </c>
      <c r="G73" s="68">
        <v>14300</v>
      </c>
      <c r="H73" s="68">
        <v>6</v>
      </c>
      <c r="I73" s="69">
        <f t="shared" si="1"/>
        <v>14306</v>
      </c>
      <c r="J73" s="67">
        <f t="shared" si="2"/>
        <v>338.1</v>
      </c>
      <c r="K73" s="67">
        <v>11958.327</v>
      </c>
      <c r="L73" s="70">
        <f t="shared" si="3"/>
        <v>0.38920458415433073</v>
      </c>
      <c r="M73" s="70">
        <f t="shared" si="4"/>
        <v>1.6107954158456692</v>
      </c>
      <c r="N73" s="67">
        <f t="shared" si="5"/>
        <v>683.4</v>
      </c>
      <c r="O73" s="70">
        <f t="shared" si="11"/>
        <v>1.6107954158456692</v>
      </c>
      <c r="P73" s="67">
        <f>ROUND(O73/$O$81*$P$81,1)-0.1</f>
        <v>674.1999999999999</v>
      </c>
      <c r="Q73" s="67">
        <f>ROUND(I73/$I$79*$Q$81,1)+0.1</f>
        <v>111</v>
      </c>
      <c r="R73" s="71">
        <f t="shared" si="9"/>
        <v>1123.3</v>
      </c>
      <c r="S73" s="41"/>
    </row>
    <row r="74" spans="1:19" ht="45.75" customHeight="1">
      <c r="A74" s="54">
        <v>17564000000</v>
      </c>
      <c r="B74" s="15"/>
      <c r="C74" s="56" t="s">
        <v>91</v>
      </c>
      <c r="D74" s="67">
        <v>31713</v>
      </c>
      <c r="E74" s="73">
        <f>1228+409</f>
        <v>1637</v>
      </c>
      <c r="F74" s="67">
        <f t="shared" si="0"/>
        <v>33350</v>
      </c>
      <c r="G74" s="68">
        <v>254170</v>
      </c>
      <c r="H74" s="68">
        <v>1551</v>
      </c>
      <c r="I74" s="69">
        <f t="shared" si="1"/>
        <v>255721</v>
      </c>
      <c r="J74" s="67">
        <f>ROUND(F74/$F$78*$J$81,1)</f>
        <v>9049.9</v>
      </c>
      <c r="K74" s="67">
        <v>872919.151</v>
      </c>
      <c r="L74" s="70">
        <f t="shared" si="3"/>
        <v>1.5894005906610063</v>
      </c>
      <c r="M74" s="70">
        <f t="shared" si="4"/>
        <v>0.41059940933899375</v>
      </c>
      <c r="N74" s="67">
        <f t="shared" si="5"/>
        <v>174.2</v>
      </c>
      <c r="O74" s="70">
        <f t="shared" si="11"/>
        <v>0.41059940933899375</v>
      </c>
      <c r="P74" s="67">
        <f t="shared" si="7"/>
        <v>171.9</v>
      </c>
      <c r="Q74" s="67">
        <f t="shared" si="8"/>
        <v>1983.2</v>
      </c>
      <c r="R74" s="71">
        <f t="shared" si="9"/>
        <v>11205</v>
      </c>
      <c r="S74" s="41"/>
    </row>
    <row r="75" spans="1:19" ht="45.75" customHeight="1">
      <c r="A75" s="54">
        <v>17565000000</v>
      </c>
      <c r="B75" s="15"/>
      <c r="C75" s="56" t="s">
        <v>92</v>
      </c>
      <c r="D75" s="67">
        <v>6487</v>
      </c>
      <c r="E75" s="67"/>
      <c r="F75" s="67">
        <f t="shared" si="0"/>
        <v>6487</v>
      </c>
      <c r="G75" s="68">
        <v>39370</v>
      </c>
      <c r="H75" s="68">
        <v>74</v>
      </c>
      <c r="I75" s="69">
        <f t="shared" si="1"/>
        <v>39444</v>
      </c>
      <c r="J75" s="67">
        <f>ROUND(F75/$F$78*$J$81,1)+0.1</f>
        <v>1760.3999999999999</v>
      </c>
      <c r="K75" s="67">
        <v>54625.736</v>
      </c>
      <c r="L75" s="70">
        <f t="shared" si="3"/>
        <v>0.6448253371937217</v>
      </c>
      <c r="M75" s="70">
        <f t="shared" si="4"/>
        <v>1.3551746628062782</v>
      </c>
      <c r="N75" s="67">
        <f>ROUND(M75/$M$81*$P$81,1)</f>
        <v>575</v>
      </c>
      <c r="O75" s="70">
        <f t="shared" si="11"/>
        <v>1.3551746628062782</v>
      </c>
      <c r="P75" s="67">
        <f>ROUND(O75/$O$81*$P$81,1)-0.1</f>
        <v>567.1999999999999</v>
      </c>
      <c r="Q75" s="67">
        <f>ROUND(I75/$I$79*$Q$81,1)</f>
        <v>305.9</v>
      </c>
      <c r="R75" s="71">
        <f t="shared" si="9"/>
        <v>2633.5</v>
      </c>
      <c r="S75" s="41"/>
    </row>
    <row r="76" spans="1:19" ht="45.75" customHeight="1">
      <c r="A76" s="54">
        <v>17566000000</v>
      </c>
      <c r="B76" s="15"/>
      <c r="C76" s="56" t="s">
        <v>93</v>
      </c>
      <c r="D76" s="67">
        <v>11358</v>
      </c>
      <c r="E76" s="67"/>
      <c r="F76" s="67">
        <f t="shared" si="0"/>
        <v>11358</v>
      </c>
      <c r="G76" s="68">
        <v>66073</v>
      </c>
      <c r="H76" s="68">
        <v>108</v>
      </c>
      <c r="I76" s="69">
        <f t="shared" si="1"/>
        <v>66181</v>
      </c>
      <c r="J76" s="67">
        <f>ROUND(F76/$F$78*$J$81,1)+0.1</f>
        <v>3082.2</v>
      </c>
      <c r="K76" s="67">
        <v>104892.717</v>
      </c>
      <c r="L76" s="70">
        <f t="shared" si="3"/>
        <v>0.7379683775375714</v>
      </c>
      <c r="M76" s="70">
        <f t="shared" si="4"/>
        <v>1.2620316224624286</v>
      </c>
      <c r="N76" s="67">
        <f>ROUND(M76/$M$81*$P$81,1)</f>
        <v>535.5</v>
      </c>
      <c r="O76" s="70">
        <f t="shared" si="11"/>
        <v>1.2620316224624286</v>
      </c>
      <c r="P76" s="67">
        <f>ROUND(O76/$O$81*$P$81,1)-0.1</f>
        <v>528.1999999999999</v>
      </c>
      <c r="Q76" s="67">
        <f>ROUND(I76/$I$79*$Q$81,1)-0.1</f>
        <v>513.1999999999999</v>
      </c>
      <c r="R76" s="71">
        <f t="shared" si="9"/>
        <v>4123.599999999999</v>
      </c>
      <c r="S76" s="41"/>
    </row>
    <row r="77" spans="1:19" ht="45.75" customHeight="1">
      <c r="A77" s="54">
        <v>17567000000</v>
      </c>
      <c r="B77" s="15"/>
      <c r="C77" s="56" t="s">
        <v>94</v>
      </c>
      <c r="D77" s="67">
        <v>783</v>
      </c>
      <c r="E77" s="67"/>
      <c r="F77" s="67">
        <f t="shared" si="0"/>
        <v>783</v>
      </c>
      <c r="G77" s="68">
        <v>6775</v>
      </c>
      <c r="H77" s="68">
        <v>23</v>
      </c>
      <c r="I77" s="69">
        <f t="shared" si="1"/>
        <v>6798</v>
      </c>
      <c r="J77" s="67">
        <f>ROUND(F77/$F$78*$J$81,1)+0.1</f>
        <v>212.6</v>
      </c>
      <c r="K77" s="67">
        <v>9340.260503</v>
      </c>
      <c r="L77" s="70">
        <f t="shared" si="3"/>
        <v>0.6397400962272053</v>
      </c>
      <c r="M77" s="70">
        <f t="shared" si="4"/>
        <v>1.3602599037727947</v>
      </c>
      <c r="N77" s="67">
        <f>ROUND(M77/$M$81*$P$81,1)+0.1</f>
        <v>577.2</v>
      </c>
      <c r="O77" s="70">
        <f t="shared" si="11"/>
        <v>1.3602599037727947</v>
      </c>
      <c r="P77" s="67">
        <f>ROUND(O77/$O$81*$P$81,1)-0.1</f>
        <v>569.3</v>
      </c>
      <c r="Q77" s="67">
        <f>ROUND(I77/$I$79*$Q$81,1)-0.1</f>
        <v>52.6</v>
      </c>
      <c r="R77" s="71">
        <f>Q77+P77+J77</f>
        <v>834.5</v>
      </c>
      <c r="S77" s="41"/>
    </row>
    <row r="78" spans="1:19" ht="44.25" customHeight="1">
      <c r="A78" s="64">
        <v>17500000000</v>
      </c>
      <c r="B78" s="31"/>
      <c r="C78" s="57" t="s">
        <v>0</v>
      </c>
      <c r="D78" s="74">
        <f>SUM(D14:D77)</f>
        <v>163580</v>
      </c>
      <c r="E78" s="74">
        <f aca="true" t="shared" si="12" ref="E78:K78">SUM(E14:E77)</f>
        <v>1637</v>
      </c>
      <c r="F78" s="74">
        <f t="shared" si="12"/>
        <v>165217</v>
      </c>
      <c r="G78" s="74">
        <f t="shared" si="12"/>
        <v>1152961</v>
      </c>
      <c r="H78" s="74">
        <f t="shared" si="12"/>
        <v>3231</v>
      </c>
      <c r="I78" s="74">
        <f t="shared" si="12"/>
        <v>1156192</v>
      </c>
      <c r="J78" s="74">
        <f t="shared" si="12"/>
        <v>44833.6</v>
      </c>
      <c r="K78" s="74">
        <f t="shared" si="12"/>
        <v>2483164.4010840002</v>
      </c>
      <c r="L78" s="75"/>
      <c r="M78" s="75"/>
      <c r="N78" s="74">
        <f>SUM(N14:N77)</f>
        <v>35866.799999999996</v>
      </c>
      <c r="O78" s="76"/>
      <c r="P78" s="74">
        <f>SUM(P14:P77)</f>
        <v>35866.8</v>
      </c>
      <c r="Q78" s="74">
        <f>SUM(Q14:Q77)</f>
        <v>8966.699999999999</v>
      </c>
      <c r="R78" s="74">
        <f>SUM(R14:R77)</f>
        <v>89667.1</v>
      </c>
      <c r="S78" s="41">
        <f>J78+P78+Q78</f>
        <v>89667.09999999999</v>
      </c>
    </row>
    <row r="79" spans="1:19" ht="2.25" customHeight="1" hidden="1">
      <c r="A79" s="65"/>
      <c r="B79" s="31"/>
      <c r="C79" s="57" t="s">
        <v>0</v>
      </c>
      <c r="D79" s="76">
        <f aca="true" t="shared" si="13" ref="D79:K79">D78+D13</f>
        <v>163583</v>
      </c>
      <c r="E79" s="74">
        <f t="shared" si="13"/>
        <v>1641</v>
      </c>
      <c r="F79" s="76">
        <f t="shared" si="13"/>
        <v>165222</v>
      </c>
      <c r="G79" s="74">
        <f t="shared" si="13"/>
        <v>1152967</v>
      </c>
      <c r="H79" s="74">
        <f t="shared" si="13"/>
        <v>3238</v>
      </c>
      <c r="I79" s="74">
        <f t="shared" si="13"/>
        <v>1156200</v>
      </c>
      <c r="J79" s="74">
        <f t="shared" si="13"/>
        <v>44842.6</v>
      </c>
      <c r="K79" s="74">
        <f t="shared" si="13"/>
        <v>2483174.4010840002</v>
      </c>
      <c r="L79" s="75"/>
      <c r="M79" s="75"/>
      <c r="N79" s="74"/>
      <c r="O79" s="74"/>
      <c r="P79" s="74">
        <f>P78+P13</f>
        <v>35881.8</v>
      </c>
      <c r="Q79" s="74">
        <f>Q78+Q13</f>
        <v>8982.699999999999</v>
      </c>
      <c r="R79" s="74"/>
      <c r="S79" s="41"/>
    </row>
    <row r="80" spans="1:19" ht="39" customHeight="1">
      <c r="A80" s="54" t="s">
        <v>32</v>
      </c>
      <c r="B80" s="15"/>
      <c r="C80" s="46" t="s">
        <v>33</v>
      </c>
      <c r="D80" s="77">
        <v>2796</v>
      </c>
      <c r="E80" s="78">
        <f>5163-409</f>
        <v>4754</v>
      </c>
      <c r="F80" s="77">
        <f>SUM(D80:E80)</f>
        <v>7550</v>
      </c>
      <c r="G80" s="77"/>
      <c r="H80" s="67"/>
      <c r="I80" s="67"/>
      <c r="J80" s="67"/>
      <c r="K80" s="67">
        <v>620791.14731</v>
      </c>
      <c r="L80" s="67"/>
      <c r="M80" s="67"/>
      <c r="N80" s="67"/>
      <c r="O80" s="67"/>
      <c r="P80" s="67"/>
      <c r="Q80" s="67"/>
      <c r="R80" s="71">
        <v>166524.5</v>
      </c>
      <c r="S80" s="41"/>
    </row>
    <row r="81" spans="1:19" s="16" customFormat="1" ht="44.25" customHeight="1">
      <c r="A81" s="66"/>
      <c r="B81" s="58"/>
      <c r="C81" s="59" t="s">
        <v>41</v>
      </c>
      <c r="D81" s="79">
        <f aca="true" t="shared" si="14" ref="D81:I81">D78+D80</f>
        <v>166376</v>
      </c>
      <c r="E81" s="79">
        <f t="shared" si="14"/>
        <v>6391</v>
      </c>
      <c r="F81" s="79">
        <f t="shared" si="14"/>
        <v>172767</v>
      </c>
      <c r="G81" s="79">
        <f t="shared" si="14"/>
        <v>1152961</v>
      </c>
      <c r="H81" s="79">
        <f t="shared" si="14"/>
        <v>3231</v>
      </c>
      <c r="I81" s="79">
        <f t="shared" si="14"/>
        <v>1156192</v>
      </c>
      <c r="J81" s="79">
        <f>ROUND(R92*0.5,1)</f>
        <v>44833.6</v>
      </c>
      <c r="K81" s="79">
        <f>K78+K80</f>
        <v>3103955.548394</v>
      </c>
      <c r="L81" s="79">
        <f>(K81/I81)/($K$81/$I$81)</f>
        <v>1</v>
      </c>
      <c r="M81" s="79">
        <f>SUM(M14:M80)</f>
        <v>84.53353860827367</v>
      </c>
      <c r="N81" s="79">
        <f>ROUND(R92*0.4,1)</f>
        <v>35866.8</v>
      </c>
      <c r="O81" s="80">
        <f>SUM(O14:O80)</f>
        <v>85.68599030244052</v>
      </c>
      <c r="P81" s="79">
        <f>ROUND(R92*0.4,1)</f>
        <v>35866.8</v>
      </c>
      <c r="Q81" s="79">
        <f>ROUND(R92*0.1,1)</f>
        <v>8966.7</v>
      </c>
      <c r="R81" s="79">
        <f>R78+R80</f>
        <v>256191.6</v>
      </c>
      <c r="S81" s="41"/>
    </row>
    <row r="82" spans="1:19" s="16" customFormat="1" ht="82.5" customHeight="1">
      <c r="A82" s="81" t="s">
        <v>137</v>
      </c>
      <c r="B82" s="82"/>
      <c r="C82" s="82"/>
      <c r="D82" s="43"/>
      <c r="E82" s="43"/>
      <c r="G82" s="43"/>
      <c r="H82" s="43"/>
      <c r="I82" s="43"/>
      <c r="J82" s="43"/>
      <c r="K82" s="43"/>
      <c r="L82" s="43"/>
      <c r="M82" s="44"/>
      <c r="N82" s="43"/>
      <c r="O82" s="44"/>
      <c r="P82" s="43"/>
      <c r="Q82" s="83" t="s">
        <v>36</v>
      </c>
      <c r="R82" s="84"/>
      <c r="S82" s="42"/>
    </row>
    <row r="83" spans="10:18" ht="15.75">
      <c r="J83" s="17"/>
      <c r="K83" s="18"/>
      <c r="L83" s="18"/>
      <c r="M83" s="18"/>
      <c r="N83" s="18"/>
      <c r="O83" s="18"/>
      <c r="P83" s="17"/>
      <c r="Q83" s="17"/>
      <c r="R83" s="33">
        <f>Q81+P81+J81</f>
        <v>89667.1</v>
      </c>
    </row>
    <row r="84" spans="1:18" s="26" customFormat="1" ht="18.75">
      <c r="A84" s="1"/>
      <c r="B84" s="1"/>
      <c r="C84" s="19"/>
      <c r="D84" s="20"/>
      <c r="E84" s="20"/>
      <c r="F84" s="36"/>
      <c r="G84" s="21"/>
      <c r="H84" s="21"/>
      <c r="I84" s="36"/>
      <c r="J84" s="22"/>
      <c r="K84" s="23"/>
      <c r="L84" s="23"/>
      <c r="M84" s="24"/>
      <c r="N84" s="24"/>
      <c r="O84" s="24"/>
      <c r="P84" s="24"/>
      <c r="Q84" s="25"/>
      <c r="R84" s="34">
        <v>256191.6</v>
      </c>
    </row>
    <row r="85" spans="1:18" s="26" customFormat="1" ht="18.75">
      <c r="A85" s="27"/>
      <c r="B85" s="28"/>
      <c r="C85" s="19"/>
      <c r="D85" s="63">
        <v>1156.1919999999998</v>
      </c>
      <c r="E85" s="20"/>
      <c r="F85" s="36"/>
      <c r="G85" s="29"/>
      <c r="H85" s="29"/>
      <c r="I85" s="36"/>
      <c r="J85" s="48"/>
      <c r="K85" s="22"/>
      <c r="L85" s="24"/>
      <c r="M85" s="24"/>
      <c r="N85" s="24"/>
      <c r="O85" s="24"/>
      <c r="P85" s="25"/>
      <c r="Q85" s="48"/>
      <c r="R85" s="23"/>
    </row>
    <row r="86" spans="1:19" s="26" customFormat="1" ht="18.75">
      <c r="A86" s="27"/>
      <c r="B86" s="28"/>
      <c r="C86" s="19"/>
      <c r="D86" s="20"/>
      <c r="E86" s="20"/>
      <c r="F86" s="20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34">
        <f>J81+N81+Q81</f>
        <v>89667.09999999999</v>
      </c>
      <c r="R86" s="34">
        <f>R84</f>
        <v>256191.6</v>
      </c>
      <c r="S86" s="47"/>
    </row>
    <row r="87" spans="1:18" s="26" customFormat="1" ht="19.5" customHeight="1">
      <c r="A87" s="1"/>
      <c r="B87" s="1"/>
      <c r="C87" s="19"/>
      <c r="D87" s="20"/>
      <c r="E87" s="20"/>
      <c r="F87" s="20"/>
      <c r="G87" s="21"/>
      <c r="H87" s="21"/>
      <c r="I87" s="21"/>
      <c r="J87" s="21"/>
      <c r="K87" s="29"/>
      <c r="L87" s="29"/>
      <c r="M87" s="21"/>
      <c r="N87" s="21"/>
      <c r="O87" s="21"/>
      <c r="P87" s="21"/>
      <c r="Q87" s="30"/>
      <c r="R87" s="32" t="s">
        <v>119</v>
      </c>
    </row>
    <row r="88" spans="17:18" ht="30.75" customHeight="1">
      <c r="Q88" s="35">
        <f>J78+P78+Q78</f>
        <v>89667.09999999999</v>
      </c>
      <c r="R88" s="35">
        <f>R84</f>
        <v>256191.6</v>
      </c>
    </row>
    <row r="89" ht="30.75" customHeight="1">
      <c r="R89" s="35" t="s">
        <v>128</v>
      </c>
    </row>
    <row r="90" spans="18:19" ht="30.75" customHeight="1">
      <c r="R90" s="33">
        <f>R88*0.65-0.04</f>
        <v>166524.5</v>
      </c>
      <c r="S90" s="50"/>
    </row>
    <row r="91" spans="18:19" ht="30.75" customHeight="1">
      <c r="R91" s="49" t="s">
        <v>120</v>
      </c>
      <c r="S91" s="50"/>
    </row>
    <row r="92" spans="16:19" ht="30.75" customHeight="1">
      <c r="P92" s="33">
        <f>P88-P90</f>
        <v>0</v>
      </c>
      <c r="R92" s="33">
        <f>R88-R90</f>
        <v>89667.1</v>
      </c>
      <c r="S92" s="50"/>
    </row>
    <row r="93" spans="16:19" ht="30.75" customHeight="1">
      <c r="P93" s="33">
        <f>44833.6</f>
        <v>44833.6</v>
      </c>
      <c r="Q93" s="9" t="s">
        <v>121</v>
      </c>
      <c r="R93" s="33">
        <f>R92*0.5</f>
        <v>44833.55</v>
      </c>
      <c r="S93" s="50"/>
    </row>
    <row r="94" spans="16:19" ht="30.75" customHeight="1">
      <c r="P94" s="33">
        <v>35866.8</v>
      </c>
      <c r="Q94" s="9" t="s">
        <v>122</v>
      </c>
      <c r="R94" s="33">
        <f>R92*0.4</f>
        <v>35866.840000000004</v>
      </c>
      <c r="S94" s="50"/>
    </row>
    <row r="95" spans="16:19" ht="30.75" customHeight="1">
      <c r="P95" s="33">
        <f>R92-P93-P94</f>
        <v>8966.700000000004</v>
      </c>
      <c r="Q95" s="9" t="s">
        <v>123</v>
      </c>
      <c r="R95" s="33">
        <f>R92-R93-R94</f>
        <v>8966.71</v>
      </c>
      <c r="S95" s="50"/>
    </row>
    <row r="96" ht="15.75">
      <c r="P96" s="9"/>
    </row>
    <row r="97" spans="1:18" ht="30" customHeight="1">
      <c r="A97" s="11"/>
      <c r="B97" s="11"/>
      <c r="C97" s="40"/>
      <c r="D97" s="39"/>
      <c r="E97" s="39"/>
      <c r="F97" s="39"/>
      <c r="G97" s="39"/>
      <c r="H97" s="39"/>
      <c r="I97" s="39"/>
      <c r="J97" s="39"/>
      <c r="K97" s="39"/>
      <c r="L97" s="37"/>
      <c r="M97" s="37"/>
      <c r="N97" s="37"/>
      <c r="O97" s="37"/>
      <c r="P97" s="37">
        <f>P93+P94+P95</f>
        <v>89667.1</v>
      </c>
      <c r="Q97" s="38"/>
      <c r="R97" s="38"/>
    </row>
  </sheetData>
  <sheetProtection/>
  <mergeCells count="20">
    <mergeCell ref="E10:E12"/>
    <mergeCell ref="F10:F12"/>
    <mergeCell ref="G10:G12"/>
    <mergeCell ref="H10:H12"/>
    <mergeCell ref="I10:I12"/>
    <mergeCell ref="J10:R10"/>
    <mergeCell ref="J11:J12"/>
    <mergeCell ref="K11:P11"/>
    <mergeCell ref="Q11:Q12"/>
    <mergeCell ref="R11:R12"/>
    <mergeCell ref="A82:C82"/>
    <mergeCell ref="Q82:R82"/>
    <mergeCell ref="O2:R2"/>
    <mergeCell ref="O3:R3"/>
    <mergeCell ref="O4:R4"/>
    <mergeCell ref="O5:R5"/>
    <mergeCell ref="C8:Q8"/>
    <mergeCell ref="A10:A12"/>
    <mergeCell ref="C10:C12"/>
    <mergeCell ref="D10:D12"/>
  </mergeCells>
  <conditionalFormatting sqref="J9:O9 R9">
    <cfRule type="cellIs" priority="1" dxfId="1" operator="lessThan" stopIfTrue="1">
      <formula>0</formula>
    </cfRule>
  </conditionalFormatting>
  <printOptions horizontalCentered="1" verticalCentered="1"/>
  <pageMargins left="0.2" right="0.2" top="0" bottom="0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Лісова</cp:lastModifiedBy>
  <cp:lastPrinted>2020-12-17T16:07:41Z</cp:lastPrinted>
  <dcterms:created xsi:type="dcterms:W3CDTF">2012-12-07T09:34:00Z</dcterms:created>
  <dcterms:modified xsi:type="dcterms:W3CDTF">2020-12-24T09:26:50Z</dcterms:modified>
  <cp:category/>
  <cp:version/>
  <cp:contentType/>
  <cp:contentStatus/>
</cp:coreProperties>
</file>